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codeName="{499AFE36-ED4D-9D94-70EF-1DFAAA4259C6}"/>
  <workbookPr saveExternalLinkValues="0" codeName="ThisWorkbook" defaultThemeVersion="166925"/>
  <mc:AlternateContent xmlns:mc="http://schemas.openxmlformats.org/markup-compatibility/2006">
    <mc:Choice Requires="x15">
      <x15ac:absPath xmlns:x15ac="http://schemas.microsoft.com/office/spreadsheetml/2010/11/ac" url="https://d.docs.live.net/1b3244b4b8ada5a4/Documents/"/>
    </mc:Choice>
  </mc:AlternateContent>
  <xr:revisionPtr revIDLastSave="57776" documentId="8_{25608BD1-A758-4149-803E-B148EE0A94C1}" xr6:coauthVersionLast="47" xr6:coauthVersionMax="47" xr10:uidLastSave="{BFF7B564-2999-472D-83FD-EF4DB2EF12C6}"/>
  <bookViews>
    <workbookView xWindow="1194" yWindow="864" windowWidth="19692" windowHeight="11082" tabRatio="737" activeTab="3" xr2:uid="{E91B06A9-6AF2-4EF8-A1CF-D8D387716E1D}"/>
  </bookViews>
  <sheets>
    <sheet name="FactorTable" sheetId="184" r:id="rId1"/>
    <sheet name="Scenarios" sheetId="186" r:id="rId2"/>
    <sheet name="Model" sheetId="241" r:id="rId3"/>
    <sheet name="Overview" sheetId="7" r:id="rId4"/>
    <sheet name="StateTaxInfo" sheetId="148" r:id="rId5"/>
    <sheet name="Baselines" sheetId="133" r:id="rId6"/>
    <sheet name="RawStateTaxInfo" sheetId="50" r:id="rId7"/>
    <sheet name="Tools" sheetId="11" r:id="rId8"/>
    <sheet name="Controls" sheetId="131" r:id="rId9"/>
    <sheet name="SampleProfiles" sheetId="252" r:id="rId10"/>
  </sheets>
  <functionGroups builtInGroupCount="19"/>
  <definedNames>
    <definedName name="_xlnm._FilterDatabase" localSheetId="0" hidden="1">FactorTable!$A$1:$A$79</definedName>
    <definedName name="_xlnm._FilterDatabase" localSheetId="1" hidden="1">Scenarios!$A$1:$AD$1</definedName>
    <definedName name="_xlnm._FilterDatabase" localSheetId="4" hidden="1">StateTaxInfo!$W$1:$W$236</definedName>
    <definedName name="_xleta.IF" hidden="1" xlm="1">#NAME?</definedName>
    <definedName name="_xleta.INT" hidden="1" xlm="1">#NAME?</definedName>
    <definedName name="_xleta.N" hidden="1" xlm="1">#NAME?</definedName>
    <definedName name="_xleta.OR" hidden="1" xlm="1">#NAME?</definedName>
    <definedName name="_xleta.VLOOKUP" hidden="1" xlm="1">#NAME?</definedName>
    <definedName name="AdjSSRefColumn" localSheetId="2">Model!$G$104</definedName>
    <definedName name="AdjTotalRefColumn" localSheetId="2">Model!$G$103</definedName>
    <definedName name="ExecutionTimeEst" localSheetId="8">Controls!$D$12:$D$15</definedName>
    <definedName name="FactorTableBEInfo" localSheetId="0">FactorTable!$G:$G</definedName>
    <definedName name="FactorTableColumn" localSheetId="0">FactorTable!$E:$E</definedName>
    <definedName name="FactorTableDataSharable" localSheetId="0">FactorTable!$B$81</definedName>
    <definedName name="FactorTableFactors" localSheetId="0">FactorTable!$H:$O</definedName>
    <definedName name="FactorTableGroups" localSheetId="0">FactorTable!$A:$A</definedName>
    <definedName name="FactorTableParamBlock" localSheetId="0">FactorTable!$D:$D</definedName>
    <definedName name="FactorTableParamName" localSheetId="0">FactorTable!$C:$C</definedName>
    <definedName name="FactorTableRefColumn" localSheetId="0">FactorTable!$F:$F</definedName>
    <definedName name="FactorTableType" localSheetId="0">FactorTable!$B:$B</definedName>
    <definedName name="LoggingControl">Controls!$D$2:$D$6</definedName>
    <definedName name="ModelAbsoluteFundedRatio" localSheetId="2">Model!$D$72</definedName>
    <definedName name="ModelAccountDraws" localSheetId="2">Model!$P:$S</definedName>
    <definedName name="ModelActualRothConvValue" localSheetId="2">Model!$D$64</definedName>
    <definedName name="ModelActualSS1" localSheetId="2">Model!$G$133</definedName>
    <definedName name="ModelActualSS2" localSheetId="2">Model!$G$134</definedName>
    <definedName name="ModelAdjFedOrdinaryTax" localSheetId="2">Model!$FP:$FP</definedName>
    <definedName name="ModelAdjFICATax" localSheetId="2">Model!$FN:$FN</definedName>
    <definedName name="ModelAdjInvestTax" localSheetId="2">Model!$GC:$GC</definedName>
    <definedName name="ModelAdjIra" localSheetId="2">Model!$AL:$AL</definedName>
    <definedName name="ModelAdjIraDraw" localSheetId="2">Model!$FJ:$FJ</definedName>
    <definedName name="ModelAdjIRMAATax" localSheetId="2">Model!$FR:$FR</definedName>
    <definedName name="ModelAdjLTCG" localSheetId="2">Model!$FU:$FU</definedName>
    <definedName name="ModelAdjLTCGTax" localSheetId="2">Model!$FO:$FO</definedName>
    <definedName name="ModelAdjNIITax" localSheetId="2">Model!$FM:$FM</definedName>
    <definedName name="ModelAdjQualIncome" localSheetId="2">Model!$FV:$FV</definedName>
    <definedName name="ModelAdjRoth" localSheetId="2">Model!$AK:$AK</definedName>
    <definedName name="ModelAdjRothDraw" localSheetId="2">Model!$FK:$FK</definedName>
    <definedName name="ModelAdjSpendable" localSheetId="2">Model!$FC:$FC</definedName>
    <definedName name="ModelAdjStateLTCG" localSheetId="2">Model!$FZ:$FZ</definedName>
    <definedName name="ModelAdjStatePension" localSheetId="2">Model!$FY:$FY</definedName>
    <definedName name="ModelAdjStateQualIncome" localSheetId="2">Model!$GB:$GB</definedName>
    <definedName name="ModelAdjStateSS" localSheetId="2">Model!$GA:$GA</definedName>
    <definedName name="ModelAdjStateTax" localSheetId="2">Model!$FQ:$FQ</definedName>
    <definedName name="ModelAdjStateUnqual" localSheetId="2">Model!$FW:$FW</definedName>
    <definedName name="ModelAdjTaxableSS" localSheetId="2">Model!$FS:$FS</definedName>
    <definedName name="ModelAdjTotalPension" localSheetId="2">Model!$FH:$FH</definedName>
    <definedName name="ModelAdjTotalWages" localSheetId="2">Model!$FG:$FG</definedName>
    <definedName name="ModelAdjUnqual" localSheetId="2">Model!$AJ:$AJ</definedName>
    <definedName name="ModelAdjUnqualDraw" localSheetId="2">Model!$FL:$FL</definedName>
    <definedName name="ModelAdjUnqualIncome" localSheetId="2">Model!$FT:$FT</definedName>
    <definedName name="ModelAdjWageIncome" localSheetId="2">Model!$FX:$FX</definedName>
    <definedName name="ModelAge" localSheetId="2">Model!$B$1:$C$34</definedName>
    <definedName name="ModelAvgTaxRate" localSheetId="2">Model!$FA:$FA</definedName>
    <definedName name="ModelBaselineComparsion" localSheetId="2">Model!$GH:$GI</definedName>
    <definedName name="ModelBaselineMedicare" localSheetId="2">Model!$ER:$ER</definedName>
    <definedName name="ModelBaselineStateCredit" localSheetId="2">Model!$BR:$BR</definedName>
    <definedName name="ModelBaselineSumSS" localSheetId="2">Model!$GK:$GK</definedName>
    <definedName name="ModelBaselineSumValue" localSheetId="2">Model!$GJ:$GJ</definedName>
    <definedName name="ModelBaselineYear" localSheetId="2">Model!$G$126</definedName>
    <definedName name="ModelBirthday1" localSheetId="2">Model!$G$123</definedName>
    <definedName name="ModelBirthday2" localSheetId="2">Model!$G$124</definedName>
    <definedName name="ModelBirthdays" localSheetId="2">Model!$G$123:$G$124</definedName>
    <definedName name="ModelBreakEvenYears" localSheetId="2">Model!$D$61:$D$62</definedName>
    <definedName name="ModelDataSharable" localSheetId="2">Model!$G$139</definedName>
    <definedName name="ModelExternalBeforeSS" localSheetId="2">Model!$K:$K</definedName>
    <definedName name="ModelFedBrackets" localSheetId="2">Model!$EC:$EL</definedName>
    <definedName name="ModelFedDedBeforeStateIncomeTax" localSheetId="2">Model!$G$114</definedName>
    <definedName name="ModelFederalTaxScheme" localSheetId="2">Model!$G$99</definedName>
    <definedName name="ModelFedIncome" localSheetId="2">Model!$BI:$BI</definedName>
    <definedName name="ModelFedIncomeChoices" localSheetId="2">Model!$BG:$BH</definedName>
    <definedName name="ModelFedInflationIndexFactor" localSheetId="2">Model!$G$91</definedName>
    <definedName name="ModelFedLTCGTax" localSheetId="2">Model!$BC:$BC</definedName>
    <definedName name="ModelFedTax" localSheetId="2">Model!$DZ:$DZ</definedName>
    <definedName name="ModelFedTotalTax" localSheetId="2">Model!$EB:$EB</definedName>
    <definedName name="ModelFICAFactor1" localSheetId="2">Model!$G$127</definedName>
    <definedName name="ModelFICAFactor2" localSheetId="2">Model!$G$128</definedName>
    <definedName name="ModelFICATax" localSheetId="2">Model!$BB:$BB</definedName>
    <definedName name="ModelFirstRetirementYear" localSheetId="2">Model!$G$86</definedName>
    <definedName name="ModelFirstYearNewTaxes" localSheetId="2">Model!$G$102</definedName>
    <definedName name="ModelFixedParameters" localSheetId="2">Model!$G$107:$G$136</definedName>
    <definedName name="ModelFlags" localSheetId="2">Model!$DT:$DX</definedName>
    <definedName name="ModelFundedRatio" localSheetId="2">Model!$D$71</definedName>
    <definedName name="ModelFundedRMDs" localSheetId="2">Model!$Y:$Z</definedName>
    <definedName name="ModelFutureTaxRates" localSheetId="2">Model!$G$181:$G$186</definedName>
    <definedName name="ModelFutureTaxRateTable" localSheetId="2">Model!$C$192:$G$197</definedName>
    <definedName name="ModelFutureTaxRefColumnID" localSheetId="2">Model!$G$153</definedName>
    <definedName name="ModelGrowthRate" localSheetId="2">Model!$G$89</definedName>
    <definedName name="ModelIndexedStateCredit" localSheetId="2">Model!$BS:$BS</definedName>
    <definedName name="ModelInflation" localSheetId="2">Model!$G$92</definedName>
    <definedName name="ModelIRA1Start" localSheetId="2">Model!$G$111</definedName>
    <definedName name="ModelIRA2Start" localSheetId="2">Model!$G$112</definedName>
    <definedName name="ModelIRAWeight" localSheetId="2">Model!$G$93</definedName>
    <definedName name="ModelIRMAATax" localSheetId="2">Model!$EV:$EV</definedName>
    <definedName name="ModelIsSingle" localSheetId="2">Model!$DV:$DV</definedName>
    <definedName name="ModelLastYearWork1" localSheetId="2">Model!$G$116</definedName>
    <definedName name="ModelLastYearWork2" localSheetId="2">Model!$G$118</definedName>
    <definedName name="ModelLeaveState1Year" localSheetId="2">Model!$G$98</definedName>
    <definedName name="ModelLTCG" localSheetId="2">Model!$AA:$AA</definedName>
    <definedName name="ModelMAGI" localSheetId="2">Model!$AW:$AW</definedName>
    <definedName name="ModelMarginalTaxRate" localSheetId="2">Model!$EZ:$EZ</definedName>
    <definedName name="ModelMedicareBaseline" localSheetId="2">Model!$ER:$ER</definedName>
    <definedName name="ModelMedicarePartB" localSheetId="2">Model!$G$109</definedName>
    <definedName name="ModelMinTotalAdjValue" localSheetId="2">Model!$G$78</definedName>
    <definedName name="ModelMinUnQualBal" localSheetId="2">Model!$G$77</definedName>
    <definedName name="ModelNextYearIRMAAFactor" localSheetId="2">Model!$G$136</definedName>
    <definedName name="ModelNIIncome" localSheetId="2">Model!$AZ:$AZ</definedName>
    <definedName name="ModelNIITax" localSheetId="2">Model!$BA:$BA</definedName>
    <definedName name="ModelNominalAccountTotal" localSheetId="2">Model!$AI:$AI</definedName>
    <definedName name="ModelNominalInvestTax" localSheetId="2">Model!$FI:$FI</definedName>
    <definedName name="ModelOptimalRothValue" localSheetId="2">Model!$D$65</definedName>
    <definedName name="ModelOtherDownStream" localSheetId="2">Model!$FF:$GC</definedName>
    <definedName name="ModelPension1" localSheetId="2">Model!$G$119</definedName>
    <definedName name="ModelPension2" localSheetId="2">Model!$G$121</definedName>
    <definedName name="ModelPensionIndexFrac1" localSheetId="2">Model!$G$129</definedName>
    <definedName name="ModelPensionIndexFrac2" localSheetId="2">Model!$G$130</definedName>
    <definedName name="ModelPensions" localSheetId="2">Model!$D:$E</definedName>
    <definedName name="ModelPensionStart1" localSheetId="2">Model!$G$120</definedName>
    <definedName name="ModelPensionStart2" localSheetId="2">Model!$G$122</definedName>
    <definedName name="ModelPensionSurvivorship1" localSheetId="2">Model!$G$131</definedName>
    <definedName name="ModelPensionSurvivorship2" localSheetId="2">Model!$G$132</definedName>
    <definedName name="ModelPersonalDeduction" localSheetId="2">Model!$G$107</definedName>
    <definedName name="ModelPlanAge" localSheetId="2">Model!$G$95:$G$96</definedName>
    <definedName name="ModelPlanAge1" localSheetId="2">Model!$G$95</definedName>
    <definedName name="ModelPlanAge2" localSheetId="2">Model!$G$96</definedName>
    <definedName name="ModelPlanStart" localSheetId="2">Model!$G$125</definedName>
    <definedName name="ModelPlanYearIRMAAFactor" localSheetId="2">Model!$G$135</definedName>
    <definedName name="ModelProvisonalIncome" localSheetId="2">Model!$AQ:$AQ</definedName>
    <definedName name="ModelQualBalances" localSheetId="2">Model!$AF:$AG</definedName>
    <definedName name="ModelQualDraws" localSheetId="2">Model!$Q:$R</definedName>
    <definedName name="ModelQualFactor" localSheetId="2">Model!$G$76</definedName>
    <definedName name="ModelQualTotalBalance" localSheetId="2">Model!$AE:$AE</definedName>
    <definedName name="ModelRMDs" localSheetId="2">Model!$AO:$AP</definedName>
    <definedName name="ModelRmdStartAge1" localSheetId="2">Model!$G$159</definedName>
    <definedName name="ModelRmdStartAge2" localSheetId="2">Model!$G$160</definedName>
    <definedName name="ModelRMMABrack1" localSheetId="2">Model!$EM:$EM</definedName>
    <definedName name="ModelRMMABrack2" localSheetId="2">Model!$EN:$EN</definedName>
    <definedName name="ModelRMMABrack3" localSheetId="2">Model!$EO:$EO</definedName>
    <definedName name="ModelRMMABrack4" localSheetId="2">Model!$EP:$EP</definedName>
    <definedName name="ModelRMMABrackets" localSheetId="2">Model!$EM:$EQ</definedName>
    <definedName name="ModelRMMACalc" localSheetId="2">Model!$ES:$EU</definedName>
    <definedName name="ModelRMMATax" localSheetId="2">Model!$EV:$EV</definedName>
    <definedName name="ModelRollup" localSheetId="2">Model!$D$43:$G$57</definedName>
    <definedName name="ModelRothBalance" localSheetId="2">Model!$AD:$AD</definedName>
    <definedName name="ModelRothConv" localSheetId="2">Model!$W:$X</definedName>
    <definedName name="ModelRothConvMode" localSheetId="2">Model!$G$84</definedName>
    <definedName name="ModelRothConvValue" localSheetId="2">Model!$G$80</definedName>
    <definedName name="ModelRothDraw" localSheetId="2">Model!$P:$P</definedName>
    <definedName name="ModelRothStart" localSheetId="2">Model!$G$113</definedName>
    <definedName name="ModelRothStartYear" localSheetId="2">Model!$G$81</definedName>
    <definedName name="ModelRothStopYear" localSheetId="2">Model!$G$82</definedName>
    <definedName name="ModelRothStrategy" localSheetId="2">Model!$G$83</definedName>
    <definedName name="ModelSavings" localSheetId="2">Model!$AB:$AB</definedName>
    <definedName name="ModelSingleIncomeFraction" localSheetId="2">Model!$G$79</definedName>
    <definedName name="ModelSolutionControls" localSheetId="2">Model!$G$75:$G$86</definedName>
    <definedName name="ModelSpendableIncome" localSheetId="2">Model!$FB:$FB</definedName>
    <definedName name="ModelSpendingMode" localSheetId="2">Model!$G$85</definedName>
    <definedName name="ModelSS1" localSheetId="2">Model!$D$209:$E$217</definedName>
    <definedName name="ModelSS2" localSheetId="2">Model!$F$209:$G$217</definedName>
    <definedName name="ModelSSCommencements" localSheetId="2">Model!$G$100</definedName>
    <definedName name="ModelSSIncomes" localSheetId="2">Model!$H:$I</definedName>
    <definedName name="ModelSSThresholds" localSheetId="2">Model!$AR:$AS</definedName>
    <definedName name="ModelStandardDeduction" localSheetId="2">Model!$G$108</definedName>
    <definedName name="ModelState1Name" localSheetId="2">Model!$F$165</definedName>
    <definedName name="ModelState2Name" localSheetId="2">Model!$G$165</definedName>
    <definedName name="ModelStateBrackets" localSheetId="2">Model!$BV:$DP</definedName>
    <definedName name="ModelStateDeduction" localSheetId="2">Model!$BP:$BQ</definedName>
    <definedName name="ModelStateDIIncone" localSheetId="2">Model!$BJ:$BJ</definedName>
    <definedName name="ModelStateIncomeElements" localSheetId="2">Model!$BJ:$BO</definedName>
    <definedName name="ModelStateIRAIncome" localSheetId="2">Model!$BM:$BM</definedName>
    <definedName name="ModelStateLTCGIncome" localSheetId="2">Model!$BN:$BN</definedName>
    <definedName name="ModelStateNames" localSheetId="2">Model!$F$165:$G$165</definedName>
    <definedName name="ModelStatePensionIncome" localSheetId="2">Model!$BL:$BL</definedName>
    <definedName name="ModelStateSSIncome" localSheetId="2">Model!$BO:$BO</definedName>
    <definedName name="ModelStateTax" localSheetId="2">Model!$DQ:$DQ</definedName>
    <definedName name="ModelStateWageIncome" localSheetId="2">Model!$BK:$BK</definedName>
    <definedName name="ModelSumsOverTime" localSheetId="2">Model!$GD:$GG</definedName>
    <definedName name="ModelSumTotalAdjSS" localSheetId="2">Model!$GG:$GG</definedName>
    <definedName name="ModelSumTotalAdjTax" localSheetId="2">Model!$GF:$GF</definedName>
    <definedName name="ModelSumTotalAdjValue" localSheetId="2">Model!$GE:$GE</definedName>
    <definedName name="ModelTargetSpend" localSheetId="2">Model!$G$75</definedName>
    <definedName name="ModelTargetSpendRequest" localSheetId="2">Model!$D$66</definedName>
    <definedName name="ModelTaxableSS" localSheetId="2">Model!$AU:$AU</definedName>
    <definedName name="ModelTaxSheetName" localSheetId="2">Model!$G$140</definedName>
    <definedName name="ModelTotalAdjSS" localSheetId="2">Model!$FF:$FF</definedName>
    <definedName name="ModelTotalAdjTax" localSheetId="2">Model!$EY:$EY</definedName>
    <definedName name="ModelTotalAdjValue" localSheetId="2">Model!$AM:$AM</definedName>
    <definedName name="ModelTotalExternal" localSheetId="2">Model!$N:$N</definedName>
    <definedName name="ModelTotalFundedRMD" localSheetId="2">Model!$D$69</definedName>
    <definedName name="ModelTotalPensionIncome" localSheetId="2">Model!$M:$M</definedName>
    <definedName name="ModelTotalQualDraw" localSheetId="2">Model!$O:$O</definedName>
    <definedName name="ModelTotalQualIncome" localSheetId="2">Model!$AT:$AT</definedName>
    <definedName name="ModelTotalRMD" localSheetId="2">Model!$AN:$AN</definedName>
    <definedName name="ModelTotalRothConv" localSheetId="2">Model!$U:$U</definedName>
    <definedName name="ModelTotalRothRollOver" localSheetId="2">Model!$D$68</definedName>
    <definedName name="ModelTotalSS" localSheetId="2">Model!$J:$J</definedName>
    <definedName name="ModelTotalTax" localSheetId="2">Model!$EX:$EX</definedName>
    <definedName name="ModelTotalWages" localSheetId="2">Model!$L:$L</definedName>
    <definedName name="ModelUnQualBalance" localSheetId="2">Model!$AC:$AC</definedName>
    <definedName name="ModelUnQualDraw" localSheetId="2">Model!$S:$S</definedName>
    <definedName name="ModelUnqualGrowthRate" localSheetId="2">Model!$G$154</definedName>
    <definedName name="ModelUnqualifiedGrowthRateFactor" localSheetId="2">Model!$G$97</definedName>
    <definedName name="ModelUnQualIncome" localSheetId="2">Model!$T:$T</definedName>
    <definedName name="ModelUnqualIncomeFactor" localSheetId="2">Model!$G$90</definedName>
    <definedName name="ModelUnqualStart" localSheetId="2">Model!$G$110</definedName>
    <definedName name="ModelUnQualUnReq" localSheetId="2">Model!$G$101</definedName>
    <definedName name="ModelUnqualWeightFactor" localSheetId="2">Model!$G$94</definedName>
    <definedName name="ModelVarParameters" localSheetId="2">Model!$G$89:$G$102</definedName>
    <definedName name="ModelVarParametersExt" localSheetId="2">Model!$G$89:$G$105</definedName>
    <definedName name="ModelWages" localSheetId="2">Model!$F:$G</definedName>
    <definedName name="ModelWithdrawalRate" localSheetId="2">Model!$EW:$EW</definedName>
    <definedName name="ModelWork1" localSheetId="2">Model!$G$115</definedName>
    <definedName name="ModelWork2" localSheetId="2">Model!$G$117</definedName>
    <definedName name="ModelWorking1" localSheetId="2">Model!$G$115</definedName>
    <definedName name="ModelYear" localSheetId="2">Model!$A:$A</definedName>
    <definedName name="ScenarioAbsoluteFundedRatio" localSheetId="1">Scenarios!$BP:$BP</definedName>
    <definedName name="ScenarioAdjRealizedValue75" localSheetId="1">Scenarios!$BF:$BF</definedName>
    <definedName name="ScenarioAdjRealizedValue85" localSheetId="1">Scenarios!$AX:$AX</definedName>
    <definedName name="ScenarioAdjRealizedValue90" localSheetId="1">Scenarios!$AP:$AP</definedName>
    <definedName name="ScenarioAdjRealizedValue95" localSheetId="1">Scenarios!$AH:$AH</definedName>
    <definedName name="ScenarioAdjSS75" localSheetId="1">Scenarios!$BJ:$BJ</definedName>
    <definedName name="ScenarioAdjSS85" localSheetId="1">Scenarios!$BB:$BB</definedName>
    <definedName name="ScenarioAdjSS90" localSheetId="1">Scenarios!$AT:$AT</definedName>
    <definedName name="ScenarioAdjSS95" localSheetId="1">Scenarios!$AL:$AL</definedName>
    <definedName name="ScenarioAdjSSBreakEven" localSheetId="1">Scenarios!$BZ:$BZ</definedName>
    <definedName name="ScenarioAdjSSRefColumn" localSheetId="1">Scenarios!$AF:$AF</definedName>
    <definedName name="ScenarioAdjTotalAccountValues75" localSheetId="1">Scenarios!$BG:$BG</definedName>
    <definedName name="ScenarioAdjTotalAccountValues85" localSheetId="1">Scenarios!$AY:$AY</definedName>
    <definedName name="ScenarioAdjTotalAccountValues90" localSheetId="1">Scenarios!$AP:$AP</definedName>
    <definedName name="ScenarioAdjTotalAccountValues95" localSheetId="1">Scenarios!$AI:$AI</definedName>
    <definedName name="ScenarioAdjTotalTax75" localSheetId="1">Scenarios!$BK:$BK</definedName>
    <definedName name="ScenarioAdjTotalTax85" localSheetId="1">Scenarios!$BC:$BC</definedName>
    <definedName name="ScenarioAdjTotalTax90" localSheetId="1">Scenarios!$AU:$AU</definedName>
    <definedName name="ScenarioAdjTotalTax95" localSheetId="1">Scenarios!$AM:$AM</definedName>
    <definedName name="ScenarioAdjValueBreakEven" localSheetId="1">Scenarios!$BY:$BY</definedName>
    <definedName name="ScenarioAdjValueRefColumn" localSheetId="1">Scenarios!$AE:$AE</definedName>
    <definedName name="ScenarioFactorTableName" localSheetId="1">Scenarios!$A$4</definedName>
    <definedName name="ScenarioFailedReserveTotal" localSheetId="1">Scenarios!$B$9</definedName>
    <definedName name="ScenarioFailsReserveGoal" localSheetId="1">Scenarios!$CD:$CD</definedName>
    <definedName name="ScenarioFedIndexingFactor" localSheetId="1">Scenarios!$E:$E</definedName>
    <definedName name="ScenarioFundedRatio" localSheetId="1">Scenarios!$BO:$BO</definedName>
    <definedName name="ScenarioGrowthRate" localSheetId="1">Scenarios!$C:$C</definedName>
    <definedName name="ScenarioImprovedByRothOpt85" localSheetId="1">Scenarios!$CC:$CC</definedName>
    <definedName name="ScenarioImprovedByRothOpt95" localSheetId="1">Scenarios!$CA:$CA</definedName>
    <definedName name="ScenarioInflation" localSheetId="1">Scenarios!$F:$F</definedName>
    <definedName name="ScenarioInsufficentFundsTotal" localSheetId="1">Scenarios!$B$8</definedName>
    <definedName name="ScenarioLastMAYear" localSheetId="1">Scenarios!$K:$K</definedName>
    <definedName name="ScenarioMaxMarginalTaxRate95" localSheetId="1">Scenarios!$BQ:$BQ</definedName>
    <definedName name="ScenarioMaxSpend" localSheetId="1">Scenarios!$BN:$BN</definedName>
    <definedName name="ScenarioMedicareD1" localSheetId="1">Scenarios!$L:$L</definedName>
    <definedName name="ScenarioMinTotalValue" localSheetId="1">Scenarios!$T:$T</definedName>
    <definedName name="ScenarioMinUnqual" localSheetId="1">Scenarios!$R:$R</definedName>
    <definedName name="ScenarioModelName" localSheetId="1">Scenarios!$A$3</definedName>
    <definedName name="ScenarioNominalSS75" localSheetId="1">Scenarios!$BI:$BI</definedName>
    <definedName name="ScenarioNominalSS85" localSheetId="1">Scenarios!$BA:$BA</definedName>
    <definedName name="ScenarioNominalSS90" localSheetId="1">Scenarios!$AS:$AS</definedName>
    <definedName name="ScenarioNominalSS95" localSheetId="1">Scenarios!$AK:$AK</definedName>
    <definedName name="ScenarioNominalTotalAccountValues75" localSheetId="1">Scenarios!$BH:$BH</definedName>
    <definedName name="ScenarioNominalTotalAccountValues85" localSheetId="1">Scenarios!$AZ:$AZ</definedName>
    <definedName name="ScenarioNominalTotalAccountValues90" localSheetId="1">Scenarios!$AR:$AR</definedName>
    <definedName name="ScenarioNominalTotalAccountValues95" localSheetId="1">Scenarios!$AJ:$AJ</definedName>
    <definedName name="ScenarioNominalTotalTax75" localSheetId="1">Scenarios!$BL:$BL</definedName>
    <definedName name="ScenarioNominalTotalTax85" localSheetId="1">Scenarios!$BD:$BD</definedName>
    <definedName name="ScenarioNominalTotalTax90" localSheetId="1">Scenarios!$AV:$AV</definedName>
    <definedName name="ScenarioNominalTotalTax95" localSheetId="1">Scenarios!$AN:$AN</definedName>
    <definedName name="ScenarioPercentRoth75" localSheetId="1">Scenarios!$BX:$BX</definedName>
    <definedName name="ScenarioPercentRoth85" localSheetId="1">Scenarios!$BW:$BW</definedName>
    <definedName name="ScenarioPercentRoth90" localSheetId="1">Scenarios!$BV:$BV</definedName>
    <definedName name="ScenarioPercentRoth95" localSheetId="1">Scenarios!$BU:$BU</definedName>
    <definedName name="ScenarioPercentUnrecIncome" localSheetId="1">Scenarios!$X:$X</definedName>
    <definedName name="ScenarioPlanAge1" localSheetId="1">Scenarios!$G:$G</definedName>
    <definedName name="ScenarioPlanAge2" localSheetId="1">Scenarios!$H:$H</definedName>
    <definedName name="ScenarioQualFactor" localSheetId="1">Scenarios!$S:$S</definedName>
    <definedName name="ScenarioQualWeight" localSheetId="1">Scenarios!$J:$J</definedName>
    <definedName name="ScenarioRothAmount" localSheetId="1">Scenarios!$N:$N</definedName>
    <definedName name="ScenarioRothConvMode" localSheetId="1">Scenarios!$AA:$AA</definedName>
    <definedName name="ScenarioRothConvValue" localSheetId="1">Scenarios!$BS:$BS</definedName>
    <definedName name="ScenarioRothOptRefRow" localSheetId="1">Scenarios!$AG:$AG</definedName>
    <definedName name="ScenarioRothStartYear" localSheetId="1">Scenarios!$O:$O</definedName>
    <definedName name="ScenarioRothStopYear" localSheetId="1">Scenarios!$P:$P</definedName>
    <definedName name="ScenarioRothStrategy" localSheetId="1">Scenarios!$V:$V</definedName>
    <definedName name="ScenarioSingleFrac" localSheetId="1">Scenarios!$M:$M</definedName>
    <definedName name="ScenarioSpendingDefMode" localSheetId="1">Scenarios!$AB:$AB</definedName>
    <definedName name="ScenarioSpendTarget" localSheetId="1">Scenarios!$Q:$Q</definedName>
    <definedName name="ScenarioSSAges" localSheetId="1">Scenarios!$W:$W</definedName>
    <definedName name="ScenarioSummaries" localSheetId="1">Scenarios!$B$8:$C$10</definedName>
    <definedName name="ScenariosUnqualPercentTax75" localSheetId="1">Scenarios!$BM:$BM</definedName>
    <definedName name="ScenariosUnqualPercentTax85" localSheetId="1">Scenarios!$BE:$BE</definedName>
    <definedName name="ScenariosUnqualPercentTax90" localSheetId="1">Scenarios!$AW:$AW</definedName>
    <definedName name="ScenariosUnqualPercentTax95" localSheetId="1">Scenarios!$AO:$AO</definedName>
    <definedName name="ScenarioTaxScenario" localSheetId="1">Scenarios!$U:$U</definedName>
    <definedName name="ScenarioTotalFailed" localSheetId="1">Scenarios!$B$10</definedName>
    <definedName name="ScenarioTotalFundedRMD" localSheetId="1">Scenarios!$BR:$BR</definedName>
    <definedName name="ScenarioTotalRothRollOver" localSheetId="1">Scenarios!$BT:$BT</definedName>
    <definedName name="ScenarioUnqualGrowthRateFactor" localSheetId="1">Scenarios!$L:$L</definedName>
    <definedName name="ScenarioUnqualIncome" localSheetId="1">Scenarios!$D:$D</definedName>
    <definedName name="ScenarioUnqualWeight" localSheetId="1">Scenarios!$I:$I</definedName>
    <definedName name="SpendingCalc" localSheetId="8">Controls!$D$8:$D$10</definedName>
    <definedName name="State1Brackets" localSheetId="2">Model!$D$221:$G$232</definedName>
    <definedName name="State1Details" localSheetId="2">Model!$F$166:$F$176</definedName>
    <definedName name="State2Brackets" localSheetId="2">Model!$D$236:$G$247</definedName>
    <definedName name="State2Details" localSheetId="2">Model!$G$166:$G$176</definedName>
    <definedName name="StateBrackets" localSheetId="4">StateTaxInfo!$A:$G</definedName>
    <definedName name="StateDetails" localSheetId="4">StateTaxInfo!$H:$W</definedName>
    <definedName name="StateTaxLocalRateAdj" localSheetId="4">StateTaxInfo!$B$172:$B$186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ecs="http://schemas.microsoft.com/office/spreadsheetml/2023/externalCodeService" uri="{FA53438D-04C0-449E-B49E-183307DE486D}">
      <xlecs:externalCodeService autoShow="0"/>
    </ext>
  </extLst>
</workbook>
</file>

<file path=xl/calcChain.xml><?xml version="1.0" encoding="utf-8"?>
<calcChain xmlns="http://schemas.openxmlformats.org/spreadsheetml/2006/main">
  <c r="B8" i="186" l="1"/>
  <c r="C8" i="186" s="1"/>
  <c r="B9" i="186" l="1"/>
  <c r="C9" i="186" s="1"/>
  <c r="G160" i="241"/>
  <c r="G159" i="241"/>
  <c r="G158" i="241"/>
  <c r="G157" i="241"/>
  <c r="G156" i="241"/>
  <c r="G155" i="241"/>
  <c r="G154" i="241"/>
  <c r="G153" i="241"/>
  <c r="G152" i="241"/>
  <c r="G146" i="241"/>
  <c r="AA38" i="241"/>
  <c r="U38" i="241"/>
  <c r="O38" i="241"/>
  <c r="AA37" i="241"/>
  <c r="U37" i="241"/>
  <c r="O37" i="241"/>
  <c r="AA36" i="241"/>
  <c r="BC36" i="241" s="1"/>
  <c r="U36" i="241"/>
  <c r="O36" i="241"/>
  <c r="AA35" i="241"/>
  <c r="BC35" i="241" s="1"/>
  <c r="U35" i="241"/>
  <c r="O35" i="241"/>
  <c r="AA34" i="241"/>
  <c r="U34" i="241"/>
  <c r="O34" i="241"/>
  <c r="AA33" i="241"/>
  <c r="BC33" i="241" s="1"/>
  <c r="U33" i="241"/>
  <c r="O33" i="241"/>
  <c r="AA32" i="241"/>
  <c r="U32" i="241"/>
  <c r="O32" i="241"/>
  <c r="AA31" i="241"/>
  <c r="U31" i="241"/>
  <c r="O31" i="241"/>
  <c r="AA30" i="241"/>
  <c r="U30" i="241"/>
  <c r="O30" i="241"/>
  <c r="AA29" i="241"/>
  <c r="BC29" i="241" s="1"/>
  <c r="U29" i="241"/>
  <c r="O29" i="241"/>
  <c r="AA28" i="241"/>
  <c r="U28" i="241"/>
  <c r="O28" i="241"/>
  <c r="AA27" i="241"/>
  <c r="BC27" i="241" s="1"/>
  <c r="U27" i="241"/>
  <c r="O27" i="241"/>
  <c r="AA26" i="241"/>
  <c r="U26" i="241"/>
  <c r="O26" i="241"/>
  <c r="AA25" i="241"/>
  <c r="U25" i="241"/>
  <c r="O25" i="241"/>
  <c r="AA24" i="241"/>
  <c r="U24" i="241"/>
  <c r="O24" i="241"/>
  <c r="AA23" i="241"/>
  <c r="BC23" i="241" s="1"/>
  <c r="U23" i="241"/>
  <c r="O23" i="241"/>
  <c r="AA22" i="241"/>
  <c r="U22" i="241"/>
  <c r="O22" i="241"/>
  <c r="AA21" i="241"/>
  <c r="U21" i="241"/>
  <c r="O21" i="241"/>
  <c r="AA20" i="241"/>
  <c r="U20" i="241"/>
  <c r="O20" i="241"/>
  <c r="AA19" i="241"/>
  <c r="U19" i="241"/>
  <c r="O19" i="241"/>
  <c r="AA18" i="241"/>
  <c r="U18" i="241"/>
  <c r="O18" i="241"/>
  <c r="AA17" i="241"/>
  <c r="U17" i="241"/>
  <c r="O17" i="241"/>
  <c r="AA16" i="241"/>
  <c r="BC16" i="241" s="1"/>
  <c r="U16" i="241"/>
  <c r="O16" i="241"/>
  <c r="AA15" i="241"/>
  <c r="U15" i="241"/>
  <c r="O15" i="241"/>
  <c r="AA14" i="241"/>
  <c r="U14" i="241"/>
  <c r="O14" i="241"/>
  <c r="AA13" i="241"/>
  <c r="U13" i="241"/>
  <c r="O13" i="241"/>
  <c r="AA12" i="241"/>
  <c r="U12" i="241"/>
  <c r="O12" i="241"/>
  <c r="AA11" i="241"/>
  <c r="BC11" i="241" s="1"/>
  <c r="U11" i="241"/>
  <c r="O11" i="241"/>
  <c r="AA10" i="241"/>
  <c r="U10" i="241"/>
  <c r="O10" i="241"/>
  <c r="AA9" i="241"/>
  <c r="U9" i="241"/>
  <c r="O9" i="241"/>
  <c r="AA8" i="241"/>
  <c r="U8" i="241"/>
  <c r="O8" i="241"/>
  <c r="AA7" i="241"/>
  <c r="U7" i="241"/>
  <c r="O7" i="241"/>
  <c r="AA6" i="241"/>
  <c r="U6" i="241"/>
  <c r="O6" i="241"/>
  <c r="AA5" i="241"/>
  <c r="BC5" i="241" s="1"/>
  <c r="U5" i="241"/>
  <c r="O5" i="241"/>
  <c r="AG4" i="241"/>
  <c r="AF4" i="241"/>
  <c r="AD4" i="241"/>
  <c r="AC4" i="241"/>
  <c r="A4" i="241"/>
  <c r="A5" i="241" s="1"/>
  <c r="A6" i="241" s="1"/>
  <c r="B10" i="186" l="1"/>
  <c r="C10" i="186" s="1"/>
  <c r="AD5" i="241"/>
  <c r="AD6" i="241" s="1"/>
  <c r="D68" i="241"/>
  <c r="DW5" i="241"/>
  <c r="BN5" i="241" s="1"/>
  <c r="AE4" i="241"/>
  <c r="EW5" i="241" s="1"/>
  <c r="B6" i="241"/>
  <c r="DW6" i="241"/>
  <c r="A7" i="241"/>
  <c r="ET6" i="241"/>
  <c r="G6" i="241"/>
  <c r="DU6" i="241"/>
  <c r="F6" i="241"/>
  <c r="DT6" i="241"/>
  <c r="DY6" i="241"/>
  <c r="FU6" i="241" s="1"/>
  <c r="C6" i="241"/>
  <c r="AP6" i="241" s="1"/>
  <c r="Z6" i="241" s="1"/>
  <c r="B5" i="241"/>
  <c r="DY5" i="241"/>
  <c r="FO5" i="241" s="1"/>
  <c r="BC13" i="241"/>
  <c r="C5" i="241"/>
  <c r="BC7" i="241"/>
  <c r="DT5" i="241"/>
  <c r="BC9" i="241"/>
  <c r="F5" i="241"/>
  <c r="DU5" i="241"/>
  <c r="BC6" i="241"/>
  <c r="G5" i="241"/>
  <c r="ET5" i="241"/>
  <c r="BC8" i="241"/>
  <c r="BC10" i="241"/>
  <c r="BC14" i="241"/>
  <c r="BC21" i="241"/>
  <c r="BC12" i="241"/>
  <c r="BC18" i="241"/>
  <c r="BC19" i="241"/>
  <c r="BC15" i="241"/>
  <c r="BC17" i="241"/>
  <c r="BC22" i="241"/>
  <c r="BC26" i="241"/>
  <c r="BC20" i="241"/>
  <c r="BC24" i="241"/>
  <c r="BC25" i="241"/>
  <c r="BC31" i="241"/>
  <c r="G144" i="241"/>
  <c r="G148" i="241"/>
  <c r="G147" i="241"/>
  <c r="BC30" i="241"/>
  <c r="BC28" i="241"/>
  <c r="BC32" i="241"/>
  <c r="BC34" i="241"/>
  <c r="BC37" i="241"/>
  <c r="G145" i="241"/>
  <c r="G150" i="241"/>
  <c r="G149" i="241"/>
  <c r="G143" i="241"/>
  <c r="BC38" i="241"/>
  <c r="H5" i="241" l="1"/>
  <c r="FZ5" i="241"/>
  <c r="FO6" i="241"/>
  <c r="DX5" i="241"/>
  <c r="I6" i="241"/>
  <c r="I5" i="241"/>
  <c r="FL6" i="241"/>
  <c r="FK6" i="241"/>
  <c r="FJ6" i="241"/>
  <c r="DX6" i="241"/>
  <c r="BN6" i="241"/>
  <c r="FZ6" i="241" s="1"/>
  <c r="C7" i="241"/>
  <c r="AP7" i="241" s="1"/>
  <c r="Z7" i="241" s="1"/>
  <c r="DY7" i="241"/>
  <c r="FO7" i="241" s="1"/>
  <c r="B7" i="241"/>
  <c r="I7" i="241"/>
  <c r="DW7" i="241"/>
  <c r="H7" i="241"/>
  <c r="A8" i="241"/>
  <c r="E8" i="241" s="1"/>
  <c r="G7" i="241"/>
  <c r="DT7" i="241"/>
  <c r="DU7" i="241"/>
  <c r="F7" i="241"/>
  <c r="H6" i="241"/>
  <c r="BB5" i="241"/>
  <c r="FN5" i="241" s="1"/>
  <c r="L5" i="241"/>
  <c r="AO6" i="241"/>
  <c r="EU6" i="241"/>
  <c r="DV6" i="241"/>
  <c r="ER6" i="241"/>
  <c r="D6" i="241"/>
  <c r="BB6" i="241"/>
  <c r="FN6" i="241" s="1"/>
  <c r="L6" i="241"/>
  <c r="FG6" i="241" s="1"/>
  <c r="AK6" i="241"/>
  <c r="AD7" i="241"/>
  <c r="FL5" i="241"/>
  <c r="FK5" i="241"/>
  <c r="FJ5" i="241"/>
  <c r="FU5" i="241"/>
  <c r="AK5" i="241"/>
  <c r="DV5" i="241"/>
  <c r="FE5" i="241" s="1"/>
  <c r="ER5" i="241"/>
  <c r="D5" i="241"/>
  <c r="AO5" i="241"/>
  <c r="EU5" i="241"/>
  <c r="E5" i="241"/>
  <c r="E7" i="241"/>
  <c r="E6" i="241"/>
  <c r="AP5" i="241"/>
  <c r="Z5" i="241" s="1"/>
  <c r="AG5" i="241" s="1"/>
  <c r="AG6" i="241" s="1"/>
  <c r="B42" i="7"/>
  <c r="B41" i="7"/>
  <c r="B40" i="7"/>
  <c r="B38" i="7"/>
  <c r="B37" i="7"/>
  <c r="B36" i="7"/>
  <c r="B35" i="7"/>
  <c r="B34" i="7"/>
  <c r="C38" i="7"/>
  <c r="C36" i="7"/>
  <c r="C34" i="7" s="1"/>
  <c r="C37" i="7"/>
  <c r="C40" i="7"/>
  <c r="C41" i="7"/>
  <c r="C42" i="7"/>
  <c r="G187" i="241" a="1"/>
  <c r="G187" i="241" l="1"/>
  <c r="DG6" i="241"/>
  <c r="CU6" i="241" s="1"/>
  <c r="FE6" i="241"/>
  <c r="AG7" i="241"/>
  <c r="ED5" i="241"/>
  <c r="EN5" i="241"/>
  <c r="EC5" i="241"/>
  <c r="EH5" i="241" s="1"/>
  <c r="AS5" i="241"/>
  <c r="AR5" i="241"/>
  <c r="EQ5" i="241"/>
  <c r="EP5" i="241"/>
  <c r="EE5" i="241"/>
  <c r="EO5" i="241"/>
  <c r="EG5" i="241"/>
  <c r="J5" i="241"/>
  <c r="FF5" i="241" s="1"/>
  <c r="EF5" i="241"/>
  <c r="EM5" i="241"/>
  <c r="CA5" i="241"/>
  <c r="DI5" i="241"/>
  <c r="CW5" i="241" s="1"/>
  <c r="CE5" i="241"/>
  <c r="DG5" i="241"/>
  <c r="CU5" i="241" s="1"/>
  <c r="BZ5" i="241"/>
  <c r="DK5" i="241"/>
  <c r="DH5" i="241"/>
  <c r="CV5" i="241" s="1"/>
  <c r="DF5" i="241"/>
  <c r="BV5" i="241"/>
  <c r="BP5" i="241"/>
  <c r="BQ5" i="241" s="1"/>
  <c r="BD5" i="241"/>
  <c r="DO5" i="241"/>
  <c r="DC5" i="241" s="1"/>
  <c r="DN5" i="241"/>
  <c r="DB5" i="241" s="1"/>
  <c r="DE5" i="241"/>
  <c r="CD5" i="241"/>
  <c r="BX5" i="241"/>
  <c r="CB5" i="241"/>
  <c r="DL5" i="241"/>
  <c r="CZ5" i="241" s="1"/>
  <c r="CG5" i="241"/>
  <c r="DJ5" i="241"/>
  <c r="CX5" i="241" s="1"/>
  <c r="CF5" i="241"/>
  <c r="BY5" i="241"/>
  <c r="DP5" i="241"/>
  <c r="DD5" i="241" s="1"/>
  <c r="CC5" i="241"/>
  <c r="BW5" i="241"/>
  <c r="DM5" i="241"/>
  <c r="DA5" i="241" s="1"/>
  <c r="BR5" i="241"/>
  <c r="BS5" i="241" s="1"/>
  <c r="CD6" i="241"/>
  <c r="AK7" i="241"/>
  <c r="AD8" i="241"/>
  <c r="DM6" i="241"/>
  <c r="DA6" i="241" s="1"/>
  <c r="CB6" i="241"/>
  <c r="DH6" i="241"/>
  <c r="CV6" i="241" s="1"/>
  <c r="EV6" i="241"/>
  <c r="FR6" i="241" s="1"/>
  <c r="BX6" i="241"/>
  <c r="BV6" i="241"/>
  <c r="BK6" i="241"/>
  <c r="FX6" i="241" s="1"/>
  <c r="DP6" i="241"/>
  <c r="DD6" i="241" s="1"/>
  <c r="AN6" i="241"/>
  <c r="V6" i="241" s="1"/>
  <c r="AT6" i="241" s="1"/>
  <c r="Y6" i="241"/>
  <c r="BN7" i="241"/>
  <c r="FZ7" i="241" s="1"/>
  <c r="DX7" i="241"/>
  <c r="DJ6" i="241"/>
  <c r="CX6" i="241" s="1"/>
  <c r="CF6" i="241"/>
  <c r="CA6" i="241"/>
  <c r="CC6" i="241"/>
  <c r="BB7" i="241"/>
  <c r="FN7" i="241" s="1"/>
  <c r="L7" i="241"/>
  <c r="FG7" i="241" s="1"/>
  <c r="DL6" i="241"/>
  <c r="CZ6" i="241" s="1"/>
  <c r="BR6" i="241"/>
  <c r="BS6" i="241" s="1"/>
  <c r="EN6" i="241"/>
  <c r="EF6" i="241"/>
  <c r="EM6" i="241"/>
  <c r="EE6" i="241"/>
  <c r="ED6" i="241"/>
  <c r="EC6" i="241"/>
  <c r="EH6" i="241" s="1"/>
  <c r="AS6" i="241"/>
  <c r="AR6" i="241"/>
  <c r="EO6" i="241"/>
  <c r="EQ6" i="241"/>
  <c r="EP6" i="241"/>
  <c r="EG6" i="241"/>
  <c r="J6" i="241"/>
  <c r="FF6" i="241" s="1"/>
  <c r="BD6" i="241"/>
  <c r="EV5" i="241"/>
  <c r="FR5" i="241" s="1"/>
  <c r="BW6" i="241"/>
  <c r="BY6" i="241"/>
  <c r="BZ6" i="241"/>
  <c r="DO6" i="241"/>
  <c r="DC6" i="241" s="1"/>
  <c r="DW8" i="241"/>
  <c r="A9" i="241"/>
  <c r="DU8" i="241"/>
  <c r="DT8" i="241"/>
  <c r="F8" i="241"/>
  <c r="C8" i="241"/>
  <c r="AP8" i="241" s="1"/>
  <c r="Z8" i="241" s="1"/>
  <c r="DY8" i="241"/>
  <c r="B8" i="241"/>
  <c r="I8" i="241"/>
  <c r="H8" i="241"/>
  <c r="G8" i="241"/>
  <c r="Y5" i="241"/>
  <c r="AF5" i="241" s="1"/>
  <c r="AN5" i="241"/>
  <c r="V5" i="241" s="1"/>
  <c r="AO7" i="241"/>
  <c r="D7" i="241"/>
  <c r="EU7" i="241"/>
  <c r="DV7" i="241"/>
  <c r="ER7" i="241"/>
  <c r="CE6" i="241"/>
  <c r="CG6" i="241"/>
  <c r="DF6" i="241"/>
  <c r="DI6" i="241"/>
  <c r="CW6" i="241" s="1"/>
  <c r="BP6" i="241"/>
  <c r="BQ6" i="241" s="1"/>
  <c r="M5" i="241"/>
  <c r="K5" i="241"/>
  <c r="K6" i="241"/>
  <c r="M6" i="241"/>
  <c r="FG5" i="241"/>
  <c r="BK5" i="241"/>
  <c r="FX5" i="241" s="1"/>
  <c r="FL7" i="241"/>
  <c r="FJ7" i="241"/>
  <c r="FK7" i="241"/>
  <c r="FU7" i="241"/>
  <c r="DK6" i="241"/>
  <c r="DE6" i="241"/>
  <c r="DN6" i="241"/>
  <c r="DB6" i="241" s="1"/>
  <c r="C35" i="7"/>
  <c r="CC7" i="241" l="1"/>
  <c r="FE7" i="241"/>
  <c r="AG8" i="241"/>
  <c r="EI6" i="241"/>
  <c r="EJ6" i="241" s="1"/>
  <c r="EK6" i="241" s="1"/>
  <c r="EL6" i="241" s="1"/>
  <c r="BX7" i="241"/>
  <c r="DJ7" i="241"/>
  <c r="CX7" i="241" s="1"/>
  <c r="CE7" i="241"/>
  <c r="DG7" i="241"/>
  <c r="CU7" i="241" s="1"/>
  <c r="FL8" i="241"/>
  <c r="FK8" i="241"/>
  <c r="FU8" i="241"/>
  <c r="FJ8" i="241"/>
  <c r="FO8" i="241"/>
  <c r="DX8" i="241"/>
  <c r="BN8" i="241"/>
  <c r="FZ8" i="241" s="1"/>
  <c r="DK7" i="241"/>
  <c r="CA7" i="241"/>
  <c r="CD7" i="241"/>
  <c r="AC5" i="241"/>
  <c r="AT5" i="241"/>
  <c r="BB8" i="241"/>
  <c r="FN8" i="241" s="1"/>
  <c r="L8" i="241"/>
  <c r="FG8" i="241" s="1"/>
  <c r="N6" i="241"/>
  <c r="BO6" i="241"/>
  <c r="GA6" i="241" s="1"/>
  <c r="BP7" i="241"/>
  <c r="BQ7" i="241" s="1"/>
  <c r="DO7" i="241"/>
  <c r="DC7" i="241" s="1"/>
  <c r="EP7" i="241"/>
  <c r="EO7" i="241"/>
  <c r="EG7" i="241"/>
  <c r="J7" i="241"/>
  <c r="FF7" i="241" s="1"/>
  <c r="EN7" i="241"/>
  <c r="EF7" i="241"/>
  <c r="EQ7" i="241"/>
  <c r="EM7" i="241"/>
  <c r="EE7" i="241"/>
  <c r="ED7" i="241"/>
  <c r="EC7" i="241"/>
  <c r="EH7" i="241" s="1"/>
  <c r="AS7" i="241"/>
  <c r="AR7" i="241"/>
  <c r="BD7" i="241"/>
  <c r="AF6" i="241"/>
  <c r="AE5" i="241"/>
  <c r="DL7" i="241"/>
  <c r="CZ7" i="241" s="1"/>
  <c r="BR7" i="241"/>
  <c r="BS7" i="241" s="1"/>
  <c r="BW7" i="241"/>
  <c r="DI7" i="241"/>
  <c r="CW7" i="241" s="1"/>
  <c r="FV6" i="241"/>
  <c r="BM6" i="241"/>
  <c r="GB6" i="241" s="1"/>
  <c r="CR6" i="241"/>
  <c r="CJ6" i="241"/>
  <c r="CY6" i="241"/>
  <c r="CQ6" i="241"/>
  <c r="CI6" i="241"/>
  <c r="CT6" i="241" s="1"/>
  <c r="CP6" i="241"/>
  <c r="CH6" i="241"/>
  <c r="CO6" i="241"/>
  <c r="CN6" i="241"/>
  <c r="CK6" i="241"/>
  <c r="CM6" i="241"/>
  <c r="CL6" i="241"/>
  <c r="CS6" i="241"/>
  <c r="FH5" i="241"/>
  <c r="BL5" i="241"/>
  <c r="FY5" i="241" s="1"/>
  <c r="BY7" i="241"/>
  <c r="BZ7" i="241"/>
  <c r="K7" i="241"/>
  <c r="M7" i="241"/>
  <c r="CG7" i="241"/>
  <c r="DF7" i="241"/>
  <c r="CB7" i="241"/>
  <c r="CF7" i="241"/>
  <c r="AK8" i="241"/>
  <c r="AD9" i="241"/>
  <c r="CP5" i="241"/>
  <c r="CH5" i="241"/>
  <c r="CO5" i="241"/>
  <c r="CN5" i="241"/>
  <c r="CM5" i="241"/>
  <c r="CL5" i="241"/>
  <c r="CJ5" i="241"/>
  <c r="CS5" i="241"/>
  <c r="CK5" i="241"/>
  <c r="CR5" i="241"/>
  <c r="CY5" i="241"/>
  <c r="CQ5" i="241"/>
  <c r="CI5" i="241"/>
  <c r="CT5" i="241" s="1"/>
  <c r="N5" i="241"/>
  <c r="BO5" i="241"/>
  <c r="GA5" i="241" s="1"/>
  <c r="EI5" i="241"/>
  <c r="EJ5" i="241" s="1"/>
  <c r="EK5" i="241" s="1"/>
  <c r="EL5" i="241" s="1"/>
  <c r="FH6" i="241"/>
  <c r="BL6" i="241"/>
  <c r="FY6" i="241" s="1"/>
  <c r="Y7" i="241"/>
  <c r="AN7" i="241"/>
  <c r="V7" i="241" s="1"/>
  <c r="AT7" i="241" s="1"/>
  <c r="DE7" i="241"/>
  <c r="DN7" i="241"/>
  <c r="DB7" i="241" s="1"/>
  <c r="DH7" i="241"/>
  <c r="CV7" i="241" s="1"/>
  <c r="EU8" i="241"/>
  <c r="DV8" i="241"/>
  <c r="ER8" i="241"/>
  <c r="AO8" i="241"/>
  <c r="D8" i="241"/>
  <c r="DY9" i="241"/>
  <c r="B9" i="241"/>
  <c r="I9" i="241"/>
  <c r="DW9" i="241"/>
  <c r="H9" i="241"/>
  <c r="A10" i="241"/>
  <c r="G9" i="241"/>
  <c r="DU9" i="241"/>
  <c r="F9" i="241"/>
  <c r="C9" i="241"/>
  <c r="AP9" i="241" s="1"/>
  <c r="Z9" i="241" s="1"/>
  <c r="DT9" i="241"/>
  <c r="E9" i="241"/>
  <c r="DM7" i="241"/>
  <c r="DA7" i="241" s="1"/>
  <c r="BK7" i="241"/>
  <c r="FX7" i="241" s="1"/>
  <c r="DP7" i="241"/>
  <c r="DD7" i="241" s="1"/>
  <c r="BV7" i="241"/>
  <c r="BY8" i="241" l="1"/>
  <c r="FE8" i="241"/>
  <c r="BK8" i="241"/>
  <c r="FX8" i="241" s="1"/>
  <c r="AG9" i="241"/>
  <c r="EI7" i="241"/>
  <c r="EJ7" i="241" s="1"/>
  <c r="EK7" i="241" s="1"/>
  <c r="EL7" i="241" s="1"/>
  <c r="CF8" i="241"/>
  <c r="DG8" i="241"/>
  <c r="CU8" i="241" s="1"/>
  <c r="DP8" i="241"/>
  <c r="DD8" i="241" s="1"/>
  <c r="M8" i="241"/>
  <c r="K8" i="241"/>
  <c r="CL7" i="241"/>
  <c r="CM7" i="241"/>
  <c r="CS7" i="241"/>
  <c r="CK7" i="241"/>
  <c r="CR7" i="241"/>
  <c r="CJ7" i="241"/>
  <c r="CY7" i="241"/>
  <c r="CQ7" i="241"/>
  <c r="CI7" i="241"/>
  <c r="CT7" i="241" s="1"/>
  <c r="CP7" i="241"/>
  <c r="CH7" i="241"/>
  <c r="CO7" i="241"/>
  <c r="CN7" i="241"/>
  <c r="BB9" i="241"/>
  <c r="FN9" i="241" s="1"/>
  <c r="L9" i="241"/>
  <c r="FG9" i="241" s="1"/>
  <c r="AN8" i="241"/>
  <c r="V8" i="241" s="1"/>
  <c r="AT8" i="241" s="1"/>
  <c r="Y8" i="241"/>
  <c r="FV7" i="241"/>
  <c r="BM7" i="241"/>
  <c r="GB7" i="241" s="1"/>
  <c r="N7" i="241"/>
  <c r="BO7" i="241"/>
  <c r="GA7" i="241" s="1"/>
  <c r="FV5" i="241"/>
  <c r="BM5" i="241"/>
  <c r="GB5" i="241" s="1"/>
  <c r="DJ8" i="241"/>
  <c r="CX8" i="241" s="1"/>
  <c r="DL8" i="241"/>
  <c r="CZ8" i="241" s="1"/>
  <c r="DO8" i="241"/>
  <c r="DC8" i="241" s="1"/>
  <c r="EW6" i="241"/>
  <c r="AJ5" i="241"/>
  <c r="AC6" i="241"/>
  <c r="AI5" i="241"/>
  <c r="T5" i="241"/>
  <c r="DN8" i="241"/>
  <c r="DB8" i="241" s="1"/>
  <c r="DF8" i="241"/>
  <c r="AO9" i="241"/>
  <c r="EU9" i="241"/>
  <c r="DV9" i="241"/>
  <c r="D9" i="241"/>
  <c r="ER9" i="241"/>
  <c r="FL9" i="241"/>
  <c r="FK9" i="241"/>
  <c r="FJ9" i="241"/>
  <c r="FU9" i="241"/>
  <c r="FO9" i="241"/>
  <c r="EM8" i="241"/>
  <c r="EE8" i="241"/>
  <c r="ED8" i="241"/>
  <c r="EC8" i="241"/>
  <c r="EH8" i="241" s="1"/>
  <c r="AS8" i="241"/>
  <c r="EQ8" i="241"/>
  <c r="EN8" i="241"/>
  <c r="EF8" i="241"/>
  <c r="EG8" i="241"/>
  <c r="EO8" i="241"/>
  <c r="J8" i="241"/>
  <c r="FF8" i="241" s="1"/>
  <c r="AR8" i="241"/>
  <c r="EP8" i="241"/>
  <c r="BD8" i="241"/>
  <c r="BZ8" i="241"/>
  <c r="BR8" i="241"/>
  <c r="BS8" i="241" s="1"/>
  <c r="BW8" i="241"/>
  <c r="CG8" i="241"/>
  <c r="BV8" i="241"/>
  <c r="DI8" i="241"/>
  <c r="CW8" i="241" s="1"/>
  <c r="CE8" i="241"/>
  <c r="DE8" i="241"/>
  <c r="C10" i="241"/>
  <c r="AP10" i="241" s="1"/>
  <c r="Z10" i="241" s="1"/>
  <c r="DY10" i="241"/>
  <c r="B10" i="241"/>
  <c r="I10" i="241"/>
  <c r="DW10" i="241"/>
  <c r="H10" i="241"/>
  <c r="DT10" i="241"/>
  <c r="A11" i="241"/>
  <c r="F10" i="241"/>
  <c r="DU10" i="241"/>
  <c r="G10" i="241"/>
  <c r="E10" i="241"/>
  <c r="AH5" i="241"/>
  <c r="AL5" i="241" s="1"/>
  <c r="GG5" i="241"/>
  <c r="GI5" i="241" s="1"/>
  <c r="CC8" i="241"/>
  <c r="DK8" i="241"/>
  <c r="DM8" i="241"/>
  <c r="DA8" i="241" s="1"/>
  <c r="AK9" i="241"/>
  <c r="AD10" i="241"/>
  <c r="AE6" i="241"/>
  <c r="AF7" i="241"/>
  <c r="CB8" i="241"/>
  <c r="BP8" i="241"/>
  <c r="BQ8" i="241" s="1"/>
  <c r="DX9" i="241"/>
  <c r="BN9" i="241"/>
  <c r="FZ9" i="241" s="1"/>
  <c r="FH7" i="241"/>
  <c r="BL7" i="241"/>
  <c r="FY7" i="241" s="1"/>
  <c r="CD8" i="241"/>
  <c r="DH8" i="241"/>
  <c r="CV8" i="241" s="1"/>
  <c r="BX8" i="241"/>
  <c r="CA8" i="241"/>
  <c r="G169" i="148"/>
  <c r="F169" i="148"/>
  <c r="G168" i="148"/>
  <c r="F168" i="148"/>
  <c r="G167" i="148"/>
  <c r="F167" i="148"/>
  <c r="G166" i="148"/>
  <c r="F166" i="148"/>
  <c r="G165" i="148"/>
  <c r="F165" i="148"/>
  <c r="G164" i="148"/>
  <c r="F164" i="148"/>
  <c r="G163" i="148"/>
  <c r="F163" i="148"/>
  <c r="G162" i="148"/>
  <c r="F162" i="148"/>
  <c r="G161" i="148"/>
  <c r="F161" i="148"/>
  <c r="G160" i="148"/>
  <c r="F160" i="148"/>
  <c r="G159" i="148"/>
  <c r="F159" i="148"/>
  <c r="G158" i="148"/>
  <c r="F158" i="148"/>
  <c r="G157" i="148"/>
  <c r="F157" i="148"/>
  <c r="G156" i="148"/>
  <c r="F156" i="148"/>
  <c r="G155" i="148"/>
  <c r="F155" i="148"/>
  <c r="G154" i="148"/>
  <c r="F154" i="148"/>
  <c r="G153" i="148"/>
  <c r="F153" i="148"/>
  <c r="G152" i="148"/>
  <c r="F152" i="148"/>
  <c r="G151" i="148"/>
  <c r="F151" i="148"/>
  <c r="G150" i="148"/>
  <c r="F150" i="148"/>
  <c r="G149" i="148"/>
  <c r="F149" i="148"/>
  <c r="G148" i="148"/>
  <c r="F148" i="148"/>
  <c r="G147" i="148"/>
  <c r="F147" i="148"/>
  <c r="G146" i="148"/>
  <c r="F146" i="148"/>
  <c r="G145" i="148"/>
  <c r="F145" i="148"/>
  <c r="G144" i="148"/>
  <c r="F144" i="148"/>
  <c r="G143" i="148"/>
  <c r="F143" i="148"/>
  <c r="G142" i="148"/>
  <c r="F142" i="148"/>
  <c r="G141" i="148"/>
  <c r="F141" i="148"/>
  <c r="G140" i="148"/>
  <c r="F140" i="148"/>
  <c r="G139" i="148"/>
  <c r="F139" i="148"/>
  <c r="G138" i="148"/>
  <c r="F138" i="148"/>
  <c r="G137" i="148"/>
  <c r="F137" i="148"/>
  <c r="G136" i="148"/>
  <c r="F136" i="148"/>
  <c r="G135" i="148"/>
  <c r="F135" i="148"/>
  <c r="G134" i="148"/>
  <c r="F134" i="148"/>
  <c r="G133" i="148"/>
  <c r="F133" i="148"/>
  <c r="G132" i="148"/>
  <c r="F132" i="148"/>
  <c r="G131" i="148"/>
  <c r="F131" i="148"/>
  <c r="G130" i="148"/>
  <c r="F130" i="148"/>
  <c r="G129" i="148"/>
  <c r="F129" i="148"/>
  <c r="G128" i="148"/>
  <c r="F128" i="148"/>
  <c r="G127" i="148"/>
  <c r="F127" i="148"/>
  <c r="G126" i="148"/>
  <c r="F126" i="148"/>
  <c r="G125" i="148"/>
  <c r="F125" i="148"/>
  <c r="G124" i="148"/>
  <c r="F124" i="148"/>
  <c r="G123" i="148"/>
  <c r="F123" i="148"/>
  <c r="G122" i="148"/>
  <c r="F122" i="148"/>
  <c r="G121" i="148"/>
  <c r="F121" i="148"/>
  <c r="G120" i="148"/>
  <c r="F120" i="148"/>
  <c r="G119" i="148"/>
  <c r="F119" i="148"/>
  <c r="G118" i="148"/>
  <c r="F118" i="148"/>
  <c r="G117" i="148"/>
  <c r="F117" i="148"/>
  <c r="G116" i="148"/>
  <c r="F116" i="148"/>
  <c r="G115" i="148"/>
  <c r="F115" i="148"/>
  <c r="G114" i="148"/>
  <c r="F114" i="148"/>
  <c r="G113" i="148"/>
  <c r="F113" i="148"/>
  <c r="G112" i="148"/>
  <c r="F112" i="148"/>
  <c r="G111" i="148"/>
  <c r="F111" i="148"/>
  <c r="G110" i="148"/>
  <c r="F110" i="148"/>
  <c r="G109" i="148"/>
  <c r="F109" i="148"/>
  <c r="G108" i="148"/>
  <c r="F108" i="148"/>
  <c r="G107" i="148"/>
  <c r="F107" i="148"/>
  <c r="G106" i="148"/>
  <c r="F106" i="148"/>
  <c r="G105" i="148"/>
  <c r="F105" i="148"/>
  <c r="G104" i="148"/>
  <c r="F104" i="148"/>
  <c r="G103" i="148"/>
  <c r="F103" i="148"/>
  <c r="G102" i="148"/>
  <c r="F102" i="148"/>
  <c r="G101" i="148"/>
  <c r="F101" i="148"/>
  <c r="G100" i="148"/>
  <c r="F100" i="148"/>
  <c r="G99" i="148"/>
  <c r="F99" i="148"/>
  <c r="G98" i="148"/>
  <c r="F98" i="148"/>
  <c r="G97" i="148"/>
  <c r="F97" i="148"/>
  <c r="G96" i="148"/>
  <c r="F96" i="148"/>
  <c r="G95" i="148"/>
  <c r="F95" i="148"/>
  <c r="G94" i="148"/>
  <c r="F94" i="148"/>
  <c r="G93" i="148"/>
  <c r="F93" i="148"/>
  <c r="G92" i="148"/>
  <c r="F92" i="148"/>
  <c r="G91" i="148"/>
  <c r="F91" i="148"/>
  <c r="G90" i="148"/>
  <c r="F90" i="148"/>
  <c r="G89" i="148"/>
  <c r="F89" i="148"/>
  <c r="G88" i="148"/>
  <c r="F88" i="148"/>
  <c r="G87" i="148"/>
  <c r="F87" i="148"/>
  <c r="G86" i="148"/>
  <c r="F86" i="148"/>
  <c r="G85" i="148"/>
  <c r="F85" i="148"/>
  <c r="G84" i="148"/>
  <c r="F84" i="148"/>
  <c r="G83" i="148"/>
  <c r="F83" i="148"/>
  <c r="G82" i="148"/>
  <c r="F82" i="148"/>
  <c r="G81" i="148"/>
  <c r="F81" i="148"/>
  <c r="G80" i="148"/>
  <c r="F80" i="148"/>
  <c r="G79" i="148"/>
  <c r="F79" i="148"/>
  <c r="G78" i="148"/>
  <c r="F78" i="148"/>
  <c r="G77" i="148"/>
  <c r="F77" i="148"/>
  <c r="G76" i="148"/>
  <c r="F76" i="148"/>
  <c r="G75" i="148"/>
  <c r="F75" i="148"/>
  <c r="G74" i="148"/>
  <c r="F74" i="148"/>
  <c r="G73" i="148"/>
  <c r="F73" i="148"/>
  <c r="G72" i="148"/>
  <c r="F72" i="148"/>
  <c r="G71" i="148"/>
  <c r="F71" i="148"/>
  <c r="G70" i="148"/>
  <c r="F70" i="148"/>
  <c r="G69" i="148"/>
  <c r="F69" i="148"/>
  <c r="G68" i="148"/>
  <c r="F68" i="148"/>
  <c r="G67" i="148"/>
  <c r="F67" i="148"/>
  <c r="G66" i="148"/>
  <c r="F66" i="148"/>
  <c r="G65" i="148"/>
  <c r="F65" i="148"/>
  <c r="G64" i="148"/>
  <c r="F64" i="148"/>
  <c r="G63" i="148"/>
  <c r="F63" i="148"/>
  <c r="G62" i="148"/>
  <c r="F62" i="148"/>
  <c r="G61" i="148"/>
  <c r="F61" i="148"/>
  <c r="G60" i="148"/>
  <c r="F60" i="148"/>
  <c r="G59" i="148"/>
  <c r="F59" i="148"/>
  <c r="G58" i="148"/>
  <c r="F58" i="148"/>
  <c r="G57" i="148"/>
  <c r="F57" i="148"/>
  <c r="G56" i="148"/>
  <c r="F56" i="148"/>
  <c r="G55" i="148"/>
  <c r="F55" i="148"/>
  <c r="G54" i="148"/>
  <c r="F54" i="148"/>
  <c r="G53" i="148"/>
  <c r="F53" i="148"/>
  <c r="G52" i="148"/>
  <c r="F52" i="148"/>
  <c r="G51" i="148"/>
  <c r="F51" i="148"/>
  <c r="G50" i="148"/>
  <c r="F50" i="148"/>
  <c r="G49" i="148"/>
  <c r="F49" i="148"/>
  <c r="G48" i="148"/>
  <c r="F48" i="148"/>
  <c r="G47" i="148"/>
  <c r="F47" i="148"/>
  <c r="G46" i="148"/>
  <c r="F46" i="148"/>
  <c r="G45" i="148"/>
  <c r="F45" i="148"/>
  <c r="G44" i="148"/>
  <c r="F44" i="148"/>
  <c r="G43" i="148"/>
  <c r="F43" i="148"/>
  <c r="G42" i="148"/>
  <c r="F42" i="148"/>
  <c r="G41" i="148"/>
  <c r="F41" i="148"/>
  <c r="G40" i="148"/>
  <c r="F40" i="148"/>
  <c r="G39" i="148"/>
  <c r="F39" i="148"/>
  <c r="G38" i="148"/>
  <c r="F38" i="148"/>
  <c r="G37" i="148"/>
  <c r="F37" i="148"/>
  <c r="G36" i="148"/>
  <c r="F36" i="148"/>
  <c r="G35" i="148"/>
  <c r="F35" i="148"/>
  <c r="G34" i="148"/>
  <c r="F34" i="148"/>
  <c r="G33" i="148"/>
  <c r="F33" i="148"/>
  <c r="G32" i="148"/>
  <c r="F32" i="148"/>
  <c r="G31" i="148"/>
  <c r="F31" i="148"/>
  <c r="G30" i="148"/>
  <c r="F30" i="148"/>
  <c r="G29" i="148"/>
  <c r="F29" i="148"/>
  <c r="G28" i="148"/>
  <c r="F28" i="148"/>
  <c r="G27" i="148"/>
  <c r="F27" i="148"/>
  <c r="G26" i="148"/>
  <c r="F26" i="148"/>
  <c r="G25" i="148"/>
  <c r="F25" i="148"/>
  <c r="G24" i="148"/>
  <c r="F24" i="148"/>
  <c r="G23" i="148"/>
  <c r="F23" i="148"/>
  <c r="G22" i="148"/>
  <c r="F22" i="148"/>
  <c r="G21" i="148"/>
  <c r="F21" i="148"/>
  <c r="G20" i="148"/>
  <c r="F20" i="148"/>
  <c r="G19" i="148"/>
  <c r="F19" i="148"/>
  <c r="G18" i="148"/>
  <c r="F18" i="148"/>
  <c r="G17" i="148"/>
  <c r="F17" i="148"/>
  <c r="G16" i="148"/>
  <c r="F16" i="148"/>
  <c r="G15" i="148"/>
  <c r="F15" i="148"/>
  <c r="G14" i="148"/>
  <c r="F14" i="148"/>
  <c r="G13" i="148"/>
  <c r="F13" i="148"/>
  <c r="G12" i="148"/>
  <c r="F12" i="148"/>
  <c r="G11" i="148"/>
  <c r="F11" i="148"/>
  <c r="G10" i="148"/>
  <c r="F10" i="148"/>
  <c r="G9" i="148"/>
  <c r="F9" i="148"/>
  <c r="G8" i="148"/>
  <c r="F8" i="148"/>
  <c r="G7" i="148"/>
  <c r="F7" i="148"/>
  <c r="G6" i="148"/>
  <c r="F6" i="148"/>
  <c r="G5" i="148"/>
  <c r="F5" i="148"/>
  <c r="G4" i="148"/>
  <c r="F4" i="148"/>
  <c r="G3" i="148"/>
  <c r="F3" i="148"/>
  <c r="BK9" i="241" l="1"/>
  <c r="FX9" i="241" s="1"/>
  <c r="DI9" i="241"/>
  <c r="CW9" i="241" s="1"/>
  <c r="FE9" i="241"/>
  <c r="DJ9" i="241"/>
  <c r="CX9" i="241" s="1"/>
  <c r="AG10" i="241"/>
  <c r="BX9" i="241"/>
  <c r="CD9" i="241"/>
  <c r="CC9" i="241"/>
  <c r="DF9" i="241"/>
  <c r="DK9" i="241"/>
  <c r="CY9" i="241" s="1"/>
  <c r="DN9" i="241"/>
  <c r="DB9" i="241" s="1"/>
  <c r="CF9" i="241"/>
  <c r="DP9" i="241"/>
  <c r="DD9" i="241" s="1"/>
  <c r="BY9" i="241"/>
  <c r="DL9" i="241"/>
  <c r="CZ9" i="241" s="1"/>
  <c r="CA9" i="241"/>
  <c r="BP9" i="241"/>
  <c r="BQ9" i="241" s="1"/>
  <c r="DM9" i="241"/>
  <c r="DA9" i="241" s="1"/>
  <c r="DO9" i="241"/>
  <c r="DC9" i="241" s="1"/>
  <c r="BW9" i="241"/>
  <c r="DE9" i="241"/>
  <c r="DG9" i="241"/>
  <c r="CU9" i="241" s="1"/>
  <c r="BR9" i="241"/>
  <c r="BS9" i="241" s="1"/>
  <c r="CB9" i="241"/>
  <c r="CE9" i="241"/>
  <c r="BV9" i="241"/>
  <c r="BZ9" i="241"/>
  <c r="DH9" i="241"/>
  <c r="CV9" i="241" s="1"/>
  <c r="CG9" i="241"/>
  <c r="N8" i="241"/>
  <c r="BO8" i="241"/>
  <c r="GA8" i="241" s="1"/>
  <c r="AD11" i="241"/>
  <c r="AK10" i="241"/>
  <c r="GG6" i="241"/>
  <c r="GI6" i="241" s="1"/>
  <c r="EI8" i="241"/>
  <c r="EJ8" i="241" s="1"/>
  <c r="EK8" i="241" s="1"/>
  <c r="EL8" i="241" s="1"/>
  <c r="AN9" i="241"/>
  <c r="V9" i="241" s="1"/>
  <c r="Y9" i="241"/>
  <c r="CY8" i="241"/>
  <c r="CQ8" i="241"/>
  <c r="CI8" i="241"/>
  <c r="CT8" i="241" s="1"/>
  <c r="CO8" i="241"/>
  <c r="CN8" i="241"/>
  <c r="CM8" i="241"/>
  <c r="CR8" i="241"/>
  <c r="CJ8" i="241"/>
  <c r="CL8" i="241"/>
  <c r="CK8" i="241"/>
  <c r="CH8" i="241"/>
  <c r="CS8" i="241"/>
  <c r="CP8" i="241"/>
  <c r="L10" i="241"/>
  <c r="FG10" i="241" s="1"/>
  <c r="BB10" i="241"/>
  <c r="FN10" i="241" s="1"/>
  <c r="FK10" i="241"/>
  <c r="FL10" i="241"/>
  <c r="FU10" i="241"/>
  <c r="FJ10" i="241"/>
  <c r="FO10" i="241"/>
  <c r="DU11" i="241"/>
  <c r="F11" i="241"/>
  <c r="DT11" i="241"/>
  <c r="C11" i="241"/>
  <c r="AP11" i="241" s="1"/>
  <c r="Z11" i="241" s="1"/>
  <c r="DY11" i="241"/>
  <c r="B11" i="241"/>
  <c r="A12" i="241"/>
  <c r="G11" i="241"/>
  <c r="DW11" i="241"/>
  <c r="I11" i="241"/>
  <c r="H11" i="241"/>
  <c r="E11" i="241"/>
  <c r="FT5" i="241"/>
  <c r="AY5" i="241"/>
  <c r="BJ5" i="241"/>
  <c r="AW5" i="241"/>
  <c r="AV5" i="241"/>
  <c r="AQ5" i="241" s="1"/>
  <c r="AU5" i="241" s="1"/>
  <c r="AE7" i="241"/>
  <c r="AF8" i="241"/>
  <c r="K9" i="241"/>
  <c r="M9" i="241"/>
  <c r="T6" i="241"/>
  <c r="AJ6" i="241"/>
  <c r="AC7" i="241"/>
  <c r="AI6" i="241"/>
  <c r="EW7" i="241"/>
  <c r="FH8" i="241"/>
  <c r="BL8" i="241"/>
  <c r="FY8" i="241" s="1"/>
  <c r="AH6" i="241"/>
  <c r="AL6" i="241" s="1"/>
  <c r="BN10" i="241"/>
  <c r="FZ10" i="241" s="1"/>
  <c r="DX10" i="241"/>
  <c r="EO9" i="241"/>
  <c r="EG9" i="241"/>
  <c r="J9" i="241"/>
  <c r="FF9" i="241" s="1"/>
  <c r="EN9" i="241"/>
  <c r="EF9" i="241"/>
  <c r="EM9" i="241"/>
  <c r="EE9" i="241"/>
  <c r="ED9" i="241"/>
  <c r="EC9" i="241"/>
  <c r="EH9" i="241" s="1"/>
  <c r="AS9" i="241"/>
  <c r="EP9" i="241"/>
  <c r="AR9" i="241"/>
  <c r="EQ9" i="241"/>
  <c r="BD9" i="241"/>
  <c r="AM5" i="241"/>
  <c r="FV8" i="241"/>
  <c r="BM8" i="241"/>
  <c r="GB8" i="241" s="1"/>
  <c r="D10" i="241"/>
  <c r="AO10" i="241"/>
  <c r="EU10" i="241"/>
  <c r="ER10" i="241"/>
  <c r="DV10" i="241"/>
  <c r="CC10" i="241" l="1"/>
  <c r="FE10" i="241"/>
  <c r="ES5" i="241"/>
  <c r="ET7" i="241" s="1"/>
  <c r="EV7" i="241" s="1"/>
  <c r="FR7" i="241" s="1"/>
  <c r="BK10" i="241"/>
  <c r="FX10" i="241" s="1"/>
  <c r="CH9" i="241"/>
  <c r="AG11" i="241"/>
  <c r="CJ9" i="241"/>
  <c r="CR9" i="241"/>
  <c r="CI9" i="241"/>
  <c r="CT9" i="241" s="1"/>
  <c r="CS9" i="241"/>
  <c r="CK9" i="241"/>
  <c r="DG10" i="241"/>
  <c r="CU10" i="241" s="1"/>
  <c r="CM9" i="241"/>
  <c r="CO9" i="241"/>
  <c r="CL9" i="241"/>
  <c r="CP9" i="241"/>
  <c r="DO10" i="241"/>
  <c r="DC10" i="241" s="1"/>
  <c r="CQ9" i="241"/>
  <c r="CN9" i="241"/>
  <c r="BR10" i="241"/>
  <c r="BS10" i="241" s="1"/>
  <c r="DI10" i="241"/>
  <c r="CW10" i="241" s="1"/>
  <c r="BY10" i="241"/>
  <c r="DN10" i="241"/>
  <c r="DB10" i="241" s="1"/>
  <c r="CE10" i="241"/>
  <c r="DK10" i="241"/>
  <c r="AK11" i="241"/>
  <c r="AD12" i="241"/>
  <c r="EQ10" i="241"/>
  <c r="EP10" i="241"/>
  <c r="EO10" i="241"/>
  <c r="EG10" i="241"/>
  <c r="J10" i="241"/>
  <c r="FF10" i="241" s="1"/>
  <c r="EN10" i="241"/>
  <c r="EF10" i="241"/>
  <c r="EM10" i="241"/>
  <c r="EE10" i="241"/>
  <c r="AR10" i="241"/>
  <c r="EC10" i="241"/>
  <c r="EH10" i="241" s="1"/>
  <c r="ED10" i="241"/>
  <c r="AS10" i="241"/>
  <c r="BD10" i="241"/>
  <c r="DE10" i="241"/>
  <c r="BP10" i="241"/>
  <c r="BQ10" i="241" s="1"/>
  <c r="DW12" i="241"/>
  <c r="H12" i="241"/>
  <c r="A13" i="241"/>
  <c r="G12" i="241"/>
  <c r="DU12" i="241"/>
  <c r="F12" i="241"/>
  <c r="DT12" i="241"/>
  <c r="I12" i="241"/>
  <c r="B12" i="241"/>
  <c r="DY12" i="241"/>
  <c r="C12" i="241"/>
  <c r="AP12" i="241" s="1"/>
  <c r="Z12" i="241" s="1"/>
  <c r="E12" i="241"/>
  <c r="BZ10" i="241"/>
  <c r="BX10" i="241"/>
  <c r="CB10" i="241"/>
  <c r="BV10" i="241"/>
  <c r="ER11" i="241"/>
  <c r="D11" i="241"/>
  <c r="AO11" i="241"/>
  <c r="DV11" i="241"/>
  <c r="EU11" i="241"/>
  <c r="DF10" i="241"/>
  <c r="CF10" i="241"/>
  <c r="DH10" i="241"/>
  <c r="CV10" i="241" s="1"/>
  <c r="CD10" i="241"/>
  <c r="FS5" i="241"/>
  <c r="BG5" i="241"/>
  <c r="BI5" i="241" s="1"/>
  <c r="AX5" i="241"/>
  <c r="AZ5" i="241" s="1"/>
  <c r="BA5" i="241" s="1"/>
  <c r="FM5" i="241" s="1"/>
  <c r="FK11" i="241"/>
  <c r="FL11" i="241"/>
  <c r="FU11" i="241"/>
  <c r="FO11" i="241"/>
  <c r="FJ11" i="241"/>
  <c r="AT9" i="241"/>
  <c r="FH9" i="241"/>
  <c r="BL9" i="241"/>
  <c r="FY9" i="241" s="1"/>
  <c r="Y10" i="241"/>
  <c r="AN10" i="241"/>
  <c r="V10" i="241" s="1"/>
  <c r="AT10" i="241" s="1"/>
  <c r="N9" i="241"/>
  <c r="BO9" i="241"/>
  <c r="GA9" i="241" s="1"/>
  <c r="DL10" i="241"/>
  <c r="CZ10" i="241" s="1"/>
  <c r="DP10" i="241"/>
  <c r="DD10" i="241" s="1"/>
  <c r="DJ10" i="241"/>
  <c r="CX10" i="241" s="1"/>
  <c r="AC8" i="241"/>
  <c r="AJ7" i="241"/>
  <c r="AI7" i="241"/>
  <c r="T7" i="241"/>
  <c r="EW8" i="241"/>
  <c r="K10" i="241"/>
  <c r="M10" i="241"/>
  <c r="CG10" i="241"/>
  <c r="AM6" i="241"/>
  <c r="AF9" i="241"/>
  <c r="AE8" i="241"/>
  <c r="BT5" i="241"/>
  <c r="FW5" i="241"/>
  <c r="BU5" i="241"/>
  <c r="GG7" i="241"/>
  <c r="GI7" i="241" s="1"/>
  <c r="EI9" i="241"/>
  <c r="EJ9" i="241" s="1"/>
  <c r="EK9" i="241" s="1"/>
  <c r="EL9" i="241" s="1"/>
  <c r="DM10" i="241"/>
  <c r="DA10" i="241" s="1"/>
  <c r="CA10" i="241"/>
  <c r="BW10" i="241"/>
  <c r="FT6" i="241"/>
  <c r="AY6" i="241"/>
  <c r="BJ6" i="241"/>
  <c r="AV6" i="241"/>
  <c r="AQ6" i="241" s="1"/>
  <c r="AU6" i="241" s="1"/>
  <c r="AW6" i="241"/>
  <c r="AH7" i="241"/>
  <c r="AL7" i="241" s="1"/>
  <c r="BN11" i="241"/>
  <c r="FZ11" i="241" s="1"/>
  <c r="DX11" i="241"/>
  <c r="L11" i="241"/>
  <c r="FG11" i="241" s="1"/>
  <c r="BB11" i="241"/>
  <c r="FN11" i="241" s="1"/>
  <c r="DE11" i="241" l="1"/>
  <c r="FE11" i="241"/>
  <c r="ES6" i="241"/>
  <c r="ET8" i="241" s="1"/>
  <c r="EV8" i="241" s="1"/>
  <c r="FR8" i="241" s="1"/>
  <c r="BK11" i="241"/>
  <c r="FX11" i="241" s="1"/>
  <c r="CS10" i="241"/>
  <c r="DL11" i="241"/>
  <c r="CZ11" i="241" s="1"/>
  <c r="AG12" i="241"/>
  <c r="CA11" i="241"/>
  <c r="CJ10" i="241"/>
  <c r="CH10" i="241"/>
  <c r="CO10" i="241"/>
  <c r="CL10" i="241"/>
  <c r="CK10" i="241"/>
  <c r="CP10" i="241"/>
  <c r="CD11" i="241"/>
  <c r="BR11" i="241"/>
  <c r="BS11" i="241" s="1"/>
  <c r="CN10" i="241"/>
  <c r="BZ11" i="241"/>
  <c r="BY11" i="241"/>
  <c r="CB11" i="241"/>
  <c r="BW11" i="241"/>
  <c r="DO11" i="241"/>
  <c r="DC11" i="241" s="1"/>
  <c r="CC11" i="241"/>
  <c r="DK11" i="241"/>
  <c r="DM11" i="241"/>
  <c r="DA11" i="241" s="1"/>
  <c r="CI10" i="241"/>
  <c r="CT10" i="241" s="1"/>
  <c r="CQ10" i="241"/>
  <c r="DG11" i="241"/>
  <c r="CU11" i="241" s="1"/>
  <c r="DJ11" i="241"/>
  <c r="CX11" i="241" s="1"/>
  <c r="DF11" i="241"/>
  <c r="DP11" i="241"/>
  <c r="DD11" i="241" s="1"/>
  <c r="DI11" i="241"/>
  <c r="CW11" i="241" s="1"/>
  <c r="BP11" i="241"/>
  <c r="BQ11" i="241" s="1"/>
  <c r="CM10" i="241"/>
  <c r="CY10" i="241"/>
  <c r="BX11" i="241"/>
  <c r="BV11" i="241"/>
  <c r="CF11" i="241"/>
  <c r="CR10" i="241"/>
  <c r="CG11" i="241"/>
  <c r="EI10" i="241"/>
  <c r="EJ10" i="241" s="1"/>
  <c r="EK10" i="241" s="1"/>
  <c r="EL10" i="241" s="1"/>
  <c r="DH11" i="241"/>
  <c r="CV11" i="241" s="1"/>
  <c r="DN11" i="241"/>
  <c r="DB11" i="241" s="1"/>
  <c r="CE11" i="241"/>
  <c r="EA5" i="241"/>
  <c r="DZ5" i="241"/>
  <c r="DR5" i="241"/>
  <c r="DQ5" i="241"/>
  <c r="AM7" i="241"/>
  <c r="FV10" i="241"/>
  <c r="BM10" i="241"/>
  <c r="GB10" i="241" s="1"/>
  <c r="EC11" i="241"/>
  <c r="EH11" i="241" s="1"/>
  <c r="AS11" i="241"/>
  <c r="AR11" i="241"/>
  <c r="EQ11" i="241"/>
  <c r="EP11" i="241"/>
  <c r="EO11" i="241"/>
  <c r="EG11" i="241"/>
  <c r="J11" i="241"/>
  <c r="FF11" i="241" s="1"/>
  <c r="ED11" i="241"/>
  <c r="EN11" i="241"/>
  <c r="EF11" i="241"/>
  <c r="EE11" i="241"/>
  <c r="EM11" i="241"/>
  <c r="BD11" i="241"/>
  <c r="BB12" i="241"/>
  <c r="FN12" i="241" s="1"/>
  <c r="L12" i="241"/>
  <c r="FG12" i="241" s="1"/>
  <c r="AH8" i="241"/>
  <c r="AL8" i="241" s="1"/>
  <c r="AC9" i="241"/>
  <c r="AJ8" i="241"/>
  <c r="AI8" i="241"/>
  <c r="T8" i="241"/>
  <c r="EW9" i="241"/>
  <c r="Y11" i="241"/>
  <c r="AN11" i="241"/>
  <c r="V11" i="241" s="1"/>
  <c r="AK12" i="241"/>
  <c r="AD13" i="241"/>
  <c r="BT6" i="241"/>
  <c r="BU6" i="241"/>
  <c r="FW6" i="241"/>
  <c r="GG8" i="241"/>
  <c r="GI8" i="241" s="1"/>
  <c r="AE9" i="241"/>
  <c r="AF10" i="241"/>
  <c r="M11" i="241"/>
  <c r="K11" i="241"/>
  <c r="N10" i="241"/>
  <c r="BO10" i="241"/>
  <c r="GA10" i="241" s="1"/>
  <c r="FL12" i="241"/>
  <c r="FK12" i="241"/>
  <c r="FU12" i="241"/>
  <c r="FJ12" i="241"/>
  <c r="FO12" i="241"/>
  <c r="AY7" i="241"/>
  <c r="FT7" i="241"/>
  <c r="BJ7" i="241"/>
  <c r="AV7" i="241"/>
  <c r="AQ7" i="241" s="1"/>
  <c r="AU7" i="241" s="1"/>
  <c r="AW7" i="241"/>
  <c r="DX12" i="241"/>
  <c r="BN12" i="241"/>
  <c r="FZ12" i="241" s="1"/>
  <c r="EU12" i="241"/>
  <c r="DV12" i="241"/>
  <c r="ER12" i="241"/>
  <c r="D12" i="241"/>
  <c r="AO12" i="241"/>
  <c r="DW13" i="241"/>
  <c r="DU13" i="241"/>
  <c r="B13" i="241"/>
  <c r="I13" i="241"/>
  <c r="H13" i="241"/>
  <c r="G13" i="241"/>
  <c r="F13" i="241"/>
  <c r="DT13" i="241"/>
  <c r="C13" i="241"/>
  <c r="AP13" i="241" s="1"/>
  <c r="Z13" i="241" s="1"/>
  <c r="DY13" i="241"/>
  <c r="A14" i="241"/>
  <c r="E13" i="241"/>
  <c r="FH10" i="241"/>
  <c r="BL10" i="241"/>
  <c r="FY10" i="241" s="1"/>
  <c r="FV9" i="241"/>
  <c r="BM9" i="241"/>
  <c r="GB9" i="241" s="1"/>
  <c r="FS6" i="241"/>
  <c r="BG6" i="241"/>
  <c r="BI6" i="241" s="1"/>
  <c r="AX6" i="241"/>
  <c r="AZ6" i="241" s="1"/>
  <c r="BA6" i="241" s="1"/>
  <c r="FM6" i="241" s="1"/>
  <c r="DN12" i="241" l="1"/>
  <c r="DB12" i="241" s="1"/>
  <c r="FE12" i="241"/>
  <c r="ES7" i="241"/>
  <c r="ET9" i="241" s="1"/>
  <c r="EV9" i="241" s="1"/>
  <c r="FR9" i="241" s="1"/>
  <c r="AG13" i="241"/>
  <c r="CM11" i="241"/>
  <c r="CP11" i="241"/>
  <c r="CQ11" i="241"/>
  <c r="CN11" i="241"/>
  <c r="CL11" i="241"/>
  <c r="CJ11" i="241"/>
  <c r="CI11" i="241"/>
  <c r="CT11" i="241" s="1"/>
  <c r="CY11" i="241"/>
  <c r="GG9" i="241"/>
  <c r="GI9" i="241" s="1"/>
  <c r="CR11" i="241"/>
  <c r="CH11" i="241"/>
  <c r="CS11" i="241"/>
  <c r="CK11" i="241"/>
  <c r="CO11" i="241"/>
  <c r="BW12" i="241"/>
  <c r="BX12" i="241"/>
  <c r="DM12" i="241"/>
  <c r="DA12" i="241" s="1"/>
  <c r="BR12" i="241"/>
  <c r="BS12" i="241" s="1"/>
  <c r="DH12" i="241"/>
  <c r="CV12" i="241" s="1"/>
  <c r="FQ5" i="241"/>
  <c r="BE5" i="241"/>
  <c r="AN12" i="241"/>
  <c r="V12" i="241" s="1"/>
  <c r="AT12" i="241" s="1"/>
  <c r="Y12" i="241"/>
  <c r="BV12" i="241"/>
  <c r="DP12" i="241"/>
  <c r="DD12" i="241" s="1"/>
  <c r="CF12" i="241"/>
  <c r="BZ12" i="241"/>
  <c r="FS7" i="241"/>
  <c r="BG7" i="241"/>
  <c r="BI7" i="241" s="1"/>
  <c r="AX7" i="241"/>
  <c r="AZ7" i="241" s="1"/>
  <c r="BA7" i="241" s="1"/>
  <c r="FM7" i="241" s="1"/>
  <c r="FH11" i="241"/>
  <c r="BL11" i="241"/>
  <c r="FY11" i="241" s="1"/>
  <c r="AD14" i="241"/>
  <c r="AK13" i="241"/>
  <c r="FT8" i="241"/>
  <c r="AY8" i="241"/>
  <c r="BJ8" i="241"/>
  <c r="AW8" i="241"/>
  <c r="AV8" i="241"/>
  <c r="AQ8" i="241" s="1"/>
  <c r="AU8" i="241" s="1"/>
  <c r="DR6" i="241"/>
  <c r="DQ6" i="241"/>
  <c r="DS6" i="241" s="1"/>
  <c r="M12" i="241"/>
  <c r="K12" i="241"/>
  <c r="CC12" i="241"/>
  <c r="DL12" i="241"/>
  <c r="CZ12" i="241" s="1"/>
  <c r="DF12" i="241"/>
  <c r="FW7" i="241"/>
  <c r="BU7" i="241"/>
  <c r="BT7" i="241"/>
  <c r="AE10" i="241"/>
  <c r="AF11" i="241"/>
  <c r="N11" i="241"/>
  <c r="BO11" i="241"/>
  <c r="GA11" i="241" s="1"/>
  <c r="DY14" i="241"/>
  <c r="B14" i="241"/>
  <c r="DW14" i="241"/>
  <c r="H14" i="241"/>
  <c r="A15" i="241"/>
  <c r="DU14" i="241"/>
  <c r="F14" i="241"/>
  <c r="C14" i="241"/>
  <c r="AP14" i="241" s="1"/>
  <c r="Z14" i="241" s="1"/>
  <c r="I14" i="241"/>
  <c r="DT14" i="241"/>
  <c r="G14" i="241"/>
  <c r="E14" i="241"/>
  <c r="DI12" i="241"/>
  <c r="CW12" i="241" s="1"/>
  <c r="BY12" i="241"/>
  <c r="AH9" i="241"/>
  <c r="AL9" i="241" s="1"/>
  <c r="AM8" i="241"/>
  <c r="FK13" i="241"/>
  <c r="FL13" i="241"/>
  <c r="FU13" i="241"/>
  <c r="FJ13" i="241"/>
  <c r="FO13" i="241"/>
  <c r="EM12" i="241"/>
  <c r="EE12" i="241"/>
  <c r="ED12" i="241"/>
  <c r="EC12" i="241"/>
  <c r="EH12" i="241" s="1"/>
  <c r="AS12" i="241"/>
  <c r="AR12" i="241"/>
  <c r="EQ12" i="241"/>
  <c r="EN12" i="241"/>
  <c r="EF12" i="241"/>
  <c r="EP12" i="241"/>
  <c r="EO12" i="241"/>
  <c r="EG12" i="241"/>
  <c r="J12" i="241"/>
  <c r="FF12" i="241" s="1"/>
  <c r="BD12" i="241"/>
  <c r="CD12" i="241"/>
  <c r="CG12" i="241"/>
  <c r="BK12" i="241"/>
  <c r="FX12" i="241" s="1"/>
  <c r="DS5" i="241"/>
  <c r="T9" i="241"/>
  <c r="AJ9" i="241"/>
  <c r="AI9" i="241"/>
  <c r="AC10" i="241"/>
  <c r="EW10" i="241"/>
  <c r="EB5" i="241"/>
  <c r="EX5" i="241" s="1"/>
  <c r="FP5" i="241"/>
  <c r="FI5" i="241"/>
  <c r="GC5" i="241" s="1"/>
  <c r="EU13" i="241"/>
  <c r="AO13" i="241"/>
  <c r="ER13" i="241"/>
  <c r="DV13" i="241"/>
  <c r="D13" i="241"/>
  <c r="DJ12" i="241"/>
  <c r="CX12" i="241" s="1"/>
  <c r="CE12" i="241"/>
  <c r="DE12" i="241"/>
  <c r="CA12" i="241"/>
  <c r="EZ5" i="241"/>
  <c r="DK12" i="241"/>
  <c r="DG12" i="241"/>
  <c r="CU12" i="241" s="1"/>
  <c r="AT11" i="241"/>
  <c r="DZ6" i="241"/>
  <c r="EA6" i="241"/>
  <c r="BB13" i="241"/>
  <c r="FN13" i="241" s="1"/>
  <c r="L13" i="241"/>
  <c r="FG13" i="241" s="1"/>
  <c r="DX13" i="241"/>
  <c r="BN13" i="241"/>
  <c r="FZ13" i="241" s="1"/>
  <c r="CB12" i="241"/>
  <c r="BP12" i="241"/>
  <c r="BQ12" i="241" s="1"/>
  <c r="DO12" i="241"/>
  <c r="DC12" i="241" s="1"/>
  <c r="EI11" i="241"/>
  <c r="EJ11" i="241" s="1"/>
  <c r="EK11" i="241" s="1"/>
  <c r="EL11" i="241" s="1"/>
  <c r="DG13" i="241" l="1"/>
  <c r="CU13" i="241" s="1"/>
  <c r="FE13" i="241"/>
  <c r="ES8" i="241"/>
  <c r="ET10" i="241" s="1"/>
  <c r="EV10" i="241" s="1"/>
  <c r="FR10" i="241" s="1"/>
  <c r="BY13" i="241"/>
  <c r="DL13" i="241"/>
  <c r="CZ13" i="241" s="1"/>
  <c r="DH13" i="241"/>
  <c r="CV13" i="241" s="1"/>
  <c r="CF13" i="241"/>
  <c r="BX13" i="241"/>
  <c r="CD13" i="241"/>
  <c r="BP13" i="241"/>
  <c r="BQ13" i="241" s="1"/>
  <c r="CG13" i="241"/>
  <c r="DE13" i="241"/>
  <c r="DI13" i="241"/>
  <c r="CW13" i="241" s="1"/>
  <c r="DK13" i="241"/>
  <c r="CY13" i="241" s="1"/>
  <c r="DM13" i="241"/>
  <c r="DA13" i="241" s="1"/>
  <c r="DJ13" i="241"/>
  <c r="CX13" i="241" s="1"/>
  <c r="CA13" i="241"/>
  <c r="CB13" i="241"/>
  <c r="BV13" i="241"/>
  <c r="CC13" i="241"/>
  <c r="AG14" i="241"/>
  <c r="BZ13" i="241"/>
  <c r="BW13" i="241"/>
  <c r="DF13" i="241"/>
  <c r="DN13" i="241"/>
  <c r="DB13" i="241" s="1"/>
  <c r="DO13" i="241"/>
  <c r="DC13" i="241" s="1"/>
  <c r="CE13" i="241"/>
  <c r="BR13" i="241"/>
  <c r="BS13" i="241" s="1"/>
  <c r="DP13" i="241"/>
  <c r="DD13" i="241" s="1"/>
  <c r="GG10" i="241"/>
  <c r="GI10" i="241" s="1"/>
  <c r="EZ6" i="241"/>
  <c r="BK13" i="241"/>
  <c r="FX13" i="241" s="1"/>
  <c r="EI12" i="241"/>
  <c r="EJ12" i="241" s="1"/>
  <c r="EK12" i="241" s="1"/>
  <c r="EL12" i="241" s="1"/>
  <c r="FA5" i="241"/>
  <c r="EY5" i="241"/>
  <c r="FD5" i="241" s="1"/>
  <c r="FB5" i="241"/>
  <c r="FC5" i="241" s="1"/>
  <c r="K13" i="241"/>
  <c r="M13" i="241"/>
  <c r="AO14" i="241"/>
  <c r="EU14" i="241"/>
  <c r="DV14" i="241"/>
  <c r="ER14" i="241"/>
  <c r="D14" i="241"/>
  <c r="EM13" i="241"/>
  <c r="EE13" i="241"/>
  <c r="EC13" i="241"/>
  <c r="EH13" i="241" s="1"/>
  <c r="EQ13" i="241"/>
  <c r="EN13" i="241"/>
  <c r="EF13" i="241"/>
  <c r="J13" i="241"/>
  <c r="FF13" i="241" s="1"/>
  <c r="EG13" i="241"/>
  <c r="ED13" i="241"/>
  <c r="EP13" i="241"/>
  <c r="AS13" i="241"/>
  <c r="AR13" i="241"/>
  <c r="EO13" i="241"/>
  <c r="BD13" i="241"/>
  <c r="AC11" i="241"/>
  <c r="AI10" i="241"/>
  <c r="T10" i="241"/>
  <c r="AJ10" i="241"/>
  <c r="EW11" i="241"/>
  <c r="FL14" i="241"/>
  <c r="FK14" i="241"/>
  <c r="FJ14" i="241"/>
  <c r="FU14" i="241"/>
  <c r="FO14" i="241"/>
  <c r="AF12" i="241"/>
  <c r="AE11" i="241"/>
  <c r="BT8" i="241"/>
  <c r="FW8" i="241"/>
  <c r="BU8" i="241"/>
  <c r="L14" i="241"/>
  <c r="FG14" i="241" s="1"/>
  <c r="BB14" i="241"/>
  <c r="FN14" i="241" s="1"/>
  <c r="AH10" i="241"/>
  <c r="AL10" i="241" s="1"/>
  <c r="FV12" i="241"/>
  <c r="BM12" i="241"/>
  <c r="GB12" i="241" s="1"/>
  <c r="FV11" i="241"/>
  <c r="BM11" i="241"/>
  <c r="GB11" i="241" s="1"/>
  <c r="FP6" i="241"/>
  <c r="EB6" i="241"/>
  <c r="EX6" i="241" s="1"/>
  <c r="FI6" i="241"/>
  <c r="GC6" i="241" s="1"/>
  <c r="AN13" i="241"/>
  <c r="V13" i="241" s="1"/>
  <c r="AT13" i="241" s="1"/>
  <c r="Y13" i="241"/>
  <c r="AM9" i="241"/>
  <c r="N12" i="241"/>
  <c r="BO12" i="241"/>
  <c r="GA12" i="241" s="1"/>
  <c r="DR7" i="241"/>
  <c r="DQ7" i="241"/>
  <c r="DS7" i="241" s="1"/>
  <c r="EA7" i="241"/>
  <c r="DZ7" i="241"/>
  <c r="BF5" i="241"/>
  <c r="BH5" i="241"/>
  <c r="FH12" i="241"/>
  <c r="BL12" i="241"/>
  <c r="FY12" i="241" s="1"/>
  <c r="FT9" i="241"/>
  <c r="AY9" i="241"/>
  <c r="BJ9" i="241"/>
  <c r="AV9" i="241"/>
  <c r="AQ9" i="241" s="1"/>
  <c r="AU9" i="241" s="1"/>
  <c r="AW9" i="241"/>
  <c r="CY12" i="241"/>
  <c r="CQ12" i="241"/>
  <c r="CI12" i="241"/>
  <c r="CT12" i="241" s="1"/>
  <c r="CP12" i="241"/>
  <c r="CH12" i="241"/>
  <c r="CO12" i="241"/>
  <c r="CN12" i="241"/>
  <c r="CM12" i="241"/>
  <c r="CR12" i="241"/>
  <c r="CJ12" i="241"/>
  <c r="CK12" i="241"/>
  <c r="CL12" i="241"/>
  <c r="CS12" i="241"/>
  <c r="DY15" i="241"/>
  <c r="B15" i="241"/>
  <c r="I15" i="241"/>
  <c r="DW15" i="241"/>
  <c r="H15" i="241"/>
  <c r="DT15" i="241"/>
  <c r="C15" i="241"/>
  <c r="AP15" i="241" s="1"/>
  <c r="Z15" i="241" s="1"/>
  <c r="A16" i="241"/>
  <c r="DU15" i="241"/>
  <c r="F15" i="241"/>
  <c r="G15" i="241"/>
  <c r="E15" i="241"/>
  <c r="FQ6" i="241"/>
  <c r="BE6" i="241"/>
  <c r="AK14" i="241"/>
  <c r="AD15" i="241"/>
  <c r="BN14" i="241"/>
  <c r="FZ14" i="241" s="1"/>
  <c r="DX14" i="241"/>
  <c r="FS8" i="241"/>
  <c r="BG8" i="241"/>
  <c r="BI8" i="241" s="1"/>
  <c r="AX8" i="241"/>
  <c r="AZ8" i="241" s="1"/>
  <c r="BA8" i="241" s="1"/>
  <c r="FM8" i="241" s="1"/>
  <c r="BK14" i="241" l="1"/>
  <c r="FX14" i="241" s="1"/>
  <c r="DN14" i="241"/>
  <c r="DB14" i="241" s="1"/>
  <c r="FE14" i="241"/>
  <c r="ES9" i="241"/>
  <c r="ET11" i="241" s="1"/>
  <c r="EV11" i="241" s="1"/>
  <c r="FR11" i="241" s="1"/>
  <c r="CL13" i="241"/>
  <c r="CS13" i="241"/>
  <c r="CN13" i="241"/>
  <c r="CH13" i="241"/>
  <c r="CM13" i="241"/>
  <c r="CK13" i="241"/>
  <c r="CP13" i="241"/>
  <c r="CI13" i="241"/>
  <c r="CT13" i="241" s="1"/>
  <c r="CR13" i="241"/>
  <c r="CJ13" i="241"/>
  <c r="CO13" i="241"/>
  <c r="BV14" i="241"/>
  <c r="CC14" i="241"/>
  <c r="DK14" i="241"/>
  <c r="CY14" i="241" s="1"/>
  <c r="DI14" i="241"/>
  <c r="CW14" i="241" s="1"/>
  <c r="BP14" i="241"/>
  <c r="BQ14" i="241" s="1"/>
  <c r="DE14" i="241"/>
  <c r="DG14" i="241"/>
  <c r="CU14" i="241" s="1"/>
  <c r="CD14" i="241"/>
  <c r="DH14" i="241"/>
  <c r="CV14" i="241" s="1"/>
  <c r="BR14" i="241"/>
  <c r="BS14" i="241" s="1"/>
  <c r="BX14" i="241"/>
  <c r="BZ14" i="241"/>
  <c r="CF14" i="241"/>
  <c r="DF14" i="241"/>
  <c r="EI13" i="241"/>
  <c r="EJ13" i="241" s="1"/>
  <c r="EK13" i="241" s="1"/>
  <c r="EL13" i="241" s="1"/>
  <c r="CQ13" i="241"/>
  <c r="AG15" i="241"/>
  <c r="CB14" i="241"/>
  <c r="BY14" i="241"/>
  <c r="BW14" i="241"/>
  <c r="CE14" i="241"/>
  <c r="CG14" i="241"/>
  <c r="CA14" i="241"/>
  <c r="DL14" i="241"/>
  <c r="CZ14" i="241" s="1"/>
  <c r="DM14" i="241"/>
  <c r="DA14" i="241" s="1"/>
  <c r="DO14" i="241"/>
  <c r="DC14" i="241" s="1"/>
  <c r="DP14" i="241"/>
  <c r="DD14" i="241" s="1"/>
  <c r="DJ14" i="241"/>
  <c r="CX14" i="241" s="1"/>
  <c r="GG11" i="241"/>
  <c r="GI11" i="241" s="1"/>
  <c r="EZ7" i="241"/>
  <c r="AD16" i="241"/>
  <c r="AK15" i="241"/>
  <c r="DX15" i="241"/>
  <c r="BN15" i="241"/>
  <c r="FZ15" i="241" s="1"/>
  <c r="N13" i="241"/>
  <c r="BO13" i="241"/>
  <c r="GA13" i="241" s="1"/>
  <c r="GD5" i="241"/>
  <c r="L15" i="241"/>
  <c r="FG15" i="241" s="1"/>
  <c r="BB15" i="241"/>
  <c r="FN15" i="241" s="1"/>
  <c r="FV13" i="241"/>
  <c r="BM13" i="241"/>
  <c r="GB13" i="241" s="1"/>
  <c r="EO14" i="241"/>
  <c r="EG14" i="241"/>
  <c r="J14" i="241"/>
  <c r="FF14" i="241" s="1"/>
  <c r="EM14" i="241"/>
  <c r="EE14" i="241"/>
  <c r="ED14" i="241"/>
  <c r="EC14" i="241"/>
  <c r="EH14" i="241" s="1"/>
  <c r="AS14" i="241"/>
  <c r="EP14" i="241"/>
  <c r="EQ14" i="241"/>
  <c r="EN14" i="241"/>
  <c r="AR14" i="241"/>
  <c r="EF14" i="241"/>
  <c r="BD14" i="241"/>
  <c r="AJ11" i="241"/>
  <c r="AC12" i="241"/>
  <c r="AI11" i="241"/>
  <c r="EW12" i="241"/>
  <c r="T11" i="241"/>
  <c r="DU16" i="241"/>
  <c r="F16" i="241"/>
  <c r="DT16" i="241"/>
  <c r="C16" i="241"/>
  <c r="AP16" i="241" s="1"/>
  <c r="Z16" i="241" s="1"/>
  <c r="DY16" i="241"/>
  <c r="B16" i="241"/>
  <c r="A17" i="241"/>
  <c r="G16" i="241"/>
  <c r="I16" i="241"/>
  <c r="H16" i="241"/>
  <c r="DW16" i="241"/>
  <c r="E16" i="241"/>
  <c r="D15" i="241"/>
  <c r="AO15" i="241"/>
  <c r="EU15" i="241"/>
  <c r="ER15" i="241"/>
  <c r="DV15" i="241"/>
  <c r="Y14" i="241"/>
  <c r="AN14" i="241"/>
  <c r="V14" i="241" s="1"/>
  <c r="AT14" i="241" s="1"/>
  <c r="BF6" i="241"/>
  <c r="BH6" i="241"/>
  <c r="FL15" i="241"/>
  <c r="FK15" i="241"/>
  <c r="FJ15" i="241"/>
  <c r="FU15" i="241"/>
  <c r="FO15" i="241"/>
  <c r="FH13" i="241"/>
  <c r="BL13" i="241"/>
  <c r="FY13" i="241" s="1"/>
  <c r="FS9" i="241"/>
  <c r="AX9" i="241"/>
  <c r="AZ9" i="241" s="1"/>
  <c r="BA9" i="241" s="1"/>
  <c r="FM9" i="241" s="1"/>
  <c r="BG9" i="241"/>
  <c r="BI9" i="241" s="1"/>
  <c r="DR8" i="241"/>
  <c r="DQ8" i="241"/>
  <c r="FW9" i="241"/>
  <c r="BU9" i="241"/>
  <c r="BT9" i="241"/>
  <c r="AH11" i="241"/>
  <c r="AL11" i="241" s="1"/>
  <c r="AM10" i="241"/>
  <c r="GF5" i="241"/>
  <c r="FA6" i="241"/>
  <c r="EY6" i="241"/>
  <c r="FD6" i="241" s="1"/>
  <c r="FB6" i="241"/>
  <c r="FC6" i="241" s="1"/>
  <c r="AE12" i="241"/>
  <c r="AF13" i="241"/>
  <c r="AY10" i="241"/>
  <c r="FT10" i="241"/>
  <c r="BJ10" i="241"/>
  <c r="AW10" i="241"/>
  <c r="AV10" i="241"/>
  <c r="AQ10" i="241" s="1"/>
  <c r="AU10" i="241" s="1"/>
  <c r="EA8" i="241"/>
  <c r="DZ8" i="241"/>
  <c r="FP7" i="241"/>
  <c r="EB7" i="241"/>
  <c r="EX7" i="241" s="1"/>
  <c r="FI7" i="241"/>
  <c r="GC7" i="241" s="1"/>
  <c r="FQ7" i="241"/>
  <c r="BE7" i="241"/>
  <c r="K14" i="241"/>
  <c r="M14" i="241"/>
  <c r="CA15" i="241" l="1"/>
  <c r="FE15" i="241"/>
  <c r="ES10" i="241"/>
  <c r="ET12" i="241" s="1"/>
  <c r="EV12" i="241" s="1"/>
  <c r="FR12" i="241" s="1"/>
  <c r="CK14" i="241"/>
  <c r="CL14" i="241"/>
  <c r="CN14" i="241"/>
  <c r="CJ14" i="241"/>
  <c r="CO14" i="241"/>
  <c r="CH14" i="241"/>
  <c r="CQ14" i="241"/>
  <c r="CR14" i="241"/>
  <c r="CS14" i="241"/>
  <c r="CP14" i="241"/>
  <c r="CI14" i="241"/>
  <c r="CT14" i="241" s="1"/>
  <c r="CM14" i="241"/>
  <c r="AG16" i="241"/>
  <c r="GG12" i="241"/>
  <c r="GI12" i="241" s="1"/>
  <c r="EZ8" i="241"/>
  <c r="BK15" i="241"/>
  <c r="FX15" i="241" s="1"/>
  <c r="GF6" i="241"/>
  <c r="BV15" i="241"/>
  <c r="CC15" i="241"/>
  <c r="AM11" i="241"/>
  <c r="DJ15" i="241"/>
  <c r="CX15" i="241" s="1"/>
  <c r="DE15" i="241"/>
  <c r="BP15" i="241"/>
  <c r="BQ15" i="241" s="1"/>
  <c r="DG15" i="241"/>
  <c r="CU15" i="241" s="1"/>
  <c r="EY7" i="241"/>
  <c r="FD7" i="241" s="1"/>
  <c r="FA7" i="241"/>
  <c r="FB7" i="241"/>
  <c r="FC7" i="241" s="1"/>
  <c r="FQ8" i="241"/>
  <c r="BE8" i="241"/>
  <c r="L16" i="241"/>
  <c r="FG16" i="241" s="1"/>
  <c r="BB16" i="241"/>
  <c r="FN16" i="241" s="1"/>
  <c r="BZ15" i="241"/>
  <c r="BX15" i="241"/>
  <c r="CB15" i="241"/>
  <c r="BW15" i="241"/>
  <c r="FW10" i="241"/>
  <c r="BU10" i="241"/>
  <c r="BT10" i="241"/>
  <c r="EA9" i="241"/>
  <c r="DZ9" i="241"/>
  <c r="AN15" i="241"/>
  <c r="V15" i="241" s="1"/>
  <c r="AT15" i="241" s="1"/>
  <c r="Y15" i="241"/>
  <c r="AY11" i="241"/>
  <c r="FT11" i="241"/>
  <c r="BJ11" i="241"/>
  <c r="AW11" i="241"/>
  <c r="AV11" i="241"/>
  <c r="AQ11" i="241" s="1"/>
  <c r="AU11" i="241" s="1"/>
  <c r="CD15" i="241"/>
  <c r="CF15" i="241"/>
  <c r="DH15" i="241"/>
  <c r="CV15" i="241" s="1"/>
  <c r="CE15" i="241"/>
  <c r="FH14" i="241"/>
  <c r="BL14" i="241"/>
  <c r="FY14" i="241" s="1"/>
  <c r="M15" i="241"/>
  <c r="K15" i="241"/>
  <c r="DW17" i="241"/>
  <c r="H17" i="241"/>
  <c r="A18" i="241"/>
  <c r="G17" i="241"/>
  <c r="DU17" i="241"/>
  <c r="F17" i="241"/>
  <c r="DT17" i="241"/>
  <c r="I17" i="241"/>
  <c r="DY17" i="241"/>
  <c r="C17" i="241"/>
  <c r="AP17" i="241" s="1"/>
  <c r="Z17" i="241" s="1"/>
  <c r="B17" i="241"/>
  <c r="E17" i="241"/>
  <c r="N14" i="241"/>
  <c r="BO14" i="241"/>
  <c r="GA14" i="241" s="1"/>
  <c r="BY15" i="241"/>
  <c r="DL15" i="241"/>
  <c r="CZ15" i="241" s="1"/>
  <c r="DP15" i="241"/>
  <c r="DD15" i="241" s="1"/>
  <c r="DK15" i="241"/>
  <c r="DQ9" i="241"/>
  <c r="DS9" i="241" s="1"/>
  <c r="DR9" i="241"/>
  <c r="ER16" i="241"/>
  <c r="D16" i="241"/>
  <c r="AO16" i="241"/>
  <c r="DV16" i="241"/>
  <c r="EU16" i="241"/>
  <c r="DM15" i="241"/>
  <c r="DA15" i="241" s="1"/>
  <c r="CG15" i="241"/>
  <c r="FV14" i="241"/>
  <c r="BM14" i="241"/>
  <c r="GB14" i="241" s="1"/>
  <c r="FK16" i="241"/>
  <c r="FJ16" i="241"/>
  <c r="FL16" i="241"/>
  <c r="FU16" i="241"/>
  <c r="FO16" i="241"/>
  <c r="T12" i="241"/>
  <c r="AJ12" i="241"/>
  <c r="AC13" i="241"/>
  <c r="AI12" i="241"/>
  <c r="EW13" i="241"/>
  <c r="DN15" i="241"/>
  <c r="DB15" i="241" s="1"/>
  <c r="AK16" i="241"/>
  <c r="AD17" i="241"/>
  <c r="FS10" i="241"/>
  <c r="BG10" i="241"/>
  <c r="BI10" i="241" s="1"/>
  <c r="AX10" i="241"/>
  <c r="AZ10" i="241" s="1"/>
  <c r="BA10" i="241" s="1"/>
  <c r="FM10" i="241" s="1"/>
  <c r="BF7" i="241"/>
  <c r="BH7" i="241"/>
  <c r="AF14" i="241"/>
  <c r="AE13" i="241"/>
  <c r="BN16" i="241"/>
  <c r="FZ16" i="241" s="1"/>
  <c r="DX16" i="241"/>
  <c r="DS8" i="241"/>
  <c r="EB8" i="241"/>
  <c r="EX8" i="241" s="1"/>
  <c r="FP8" i="241"/>
  <c r="FI8" i="241"/>
  <c r="GC8" i="241" s="1"/>
  <c r="AH12" i="241"/>
  <c r="AL12" i="241" s="1"/>
  <c r="EQ15" i="241"/>
  <c r="EO15" i="241"/>
  <c r="EG15" i="241"/>
  <c r="J15" i="241"/>
  <c r="FF15" i="241" s="1"/>
  <c r="EN15" i="241"/>
  <c r="EF15" i="241"/>
  <c r="EM15" i="241"/>
  <c r="EE15" i="241"/>
  <c r="AR15" i="241"/>
  <c r="EC15" i="241"/>
  <c r="EH15" i="241" s="1"/>
  <c r="AS15" i="241"/>
  <c r="EP15" i="241"/>
  <c r="ED15" i="241"/>
  <c r="BD15" i="241"/>
  <c r="EI14" i="241"/>
  <c r="EJ14" i="241" s="1"/>
  <c r="EK14" i="241" s="1"/>
  <c r="EL14" i="241" s="1"/>
  <c r="GD6" i="241"/>
  <c r="GE5" i="241"/>
  <c r="GH5" i="241" s="1"/>
  <c r="BR15" i="241"/>
  <c r="BS15" i="241" s="1"/>
  <c r="DF15" i="241"/>
  <c r="DO15" i="241"/>
  <c r="DC15" i="241" s="1"/>
  <c r="DI15" i="241"/>
  <c r="CW15" i="241" s="1"/>
  <c r="DE16" i="241" l="1"/>
  <c r="FE16" i="241"/>
  <c r="ES11" i="241"/>
  <c r="ET13" i="241" s="1"/>
  <c r="EV13" i="241" s="1"/>
  <c r="FR13" i="241" s="1"/>
  <c r="BK16" i="241"/>
  <c r="FX16" i="241" s="1"/>
  <c r="GG13" i="241"/>
  <c r="GI13" i="241" s="1"/>
  <c r="DP16" i="241"/>
  <c r="DD16" i="241" s="1"/>
  <c r="CC16" i="241"/>
  <c r="AG17" i="241"/>
  <c r="GF7" i="241"/>
  <c r="CA16" i="241"/>
  <c r="CE16" i="241"/>
  <c r="BP16" i="241"/>
  <c r="BQ16" i="241" s="1"/>
  <c r="EI15" i="241"/>
  <c r="EJ15" i="241" s="1"/>
  <c r="EK15" i="241" s="1"/>
  <c r="EL15" i="241" s="1"/>
  <c r="EZ9" i="241"/>
  <c r="FA8" i="241"/>
  <c r="EY8" i="241"/>
  <c r="FD8" i="241" s="1"/>
  <c r="FB8" i="241"/>
  <c r="FC8" i="241" s="1"/>
  <c r="AH13" i="241"/>
  <c r="AL13" i="241" s="1"/>
  <c r="AK17" i="241"/>
  <c r="AD18" i="241"/>
  <c r="FT12" i="241"/>
  <c r="AY12" i="241"/>
  <c r="BJ12" i="241"/>
  <c r="AV12" i="241"/>
  <c r="AQ12" i="241" s="1"/>
  <c r="AU12" i="241" s="1"/>
  <c r="AW12" i="241"/>
  <c r="EC16" i="241"/>
  <c r="EH16" i="241" s="1"/>
  <c r="AS16" i="241"/>
  <c r="AR16" i="241"/>
  <c r="EQ16" i="241"/>
  <c r="EP16" i="241"/>
  <c r="EO16" i="241"/>
  <c r="EG16" i="241"/>
  <c r="J16" i="241"/>
  <c r="FF16" i="241" s="1"/>
  <c r="ED16" i="241"/>
  <c r="EM16" i="241"/>
  <c r="EF16" i="241"/>
  <c r="EE16" i="241"/>
  <c r="EN16" i="241"/>
  <c r="BD16" i="241"/>
  <c r="DY18" i="241"/>
  <c r="B18" i="241"/>
  <c r="I18" i="241"/>
  <c r="DW18" i="241"/>
  <c r="H18" i="241"/>
  <c r="G18" i="241"/>
  <c r="A19" i="241"/>
  <c r="DU18" i="241"/>
  <c r="F18" i="241"/>
  <c r="C18" i="241"/>
  <c r="DT18" i="241"/>
  <c r="E18" i="241"/>
  <c r="CB16" i="241"/>
  <c r="BR16" i="241"/>
  <c r="BS16" i="241" s="1"/>
  <c r="BV16" i="241"/>
  <c r="BX16" i="241"/>
  <c r="AE14" i="241"/>
  <c r="AF15" i="241"/>
  <c r="Y16" i="241"/>
  <c r="AN16" i="241"/>
  <c r="V16" i="241" s="1"/>
  <c r="AT16" i="241" s="1"/>
  <c r="GD7" i="241"/>
  <c r="GE6" i="241"/>
  <c r="GH6" i="241" s="1"/>
  <c r="N15" i="241"/>
  <c r="BO15" i="241"/>
  <c r="GA15" i="241" s="1"/>
  <c r="DH16" i="241"/>
  <c r="CV16" i="241" s="1"/>
  <c r="BZ16" i="241"/>
  <c r="CD16" i="241"/>
  <c r="CF16" i="241"/>
  <c r="M16" i="241"/>
  <c r="K16" i="241"/>
  <c r="DX17" i="241"/>
  <c r="BN17" i="241"/>
  <c r="FZ17" i="241" s="1"/>
  <c r="FL17" i="241"/>
  <c r="FK17" i="241"/>
  <c r="FU17" i="241"/>
  <c r="FJ17" i="241"/>
  <c r="FO17" i="241"/>
  <c r="DF16" i="241"/>
  <c r="DJ16" i="241"/>
  <c r="CX16" i="241" s="1"/>
  <c r="DL16" i="241"/>
  <c r="CZ16" i="241" s="1"/>
  <c r="CM15" i="241"/>
  <c r="CS15" i="241"/>
  <c r="CK15" i="241"/>
  <c r="CR15" i="241"/>
  <c r="CJ15" i="241"/>
  <c r="CY15" i="241"/>
  <c r="CQ15" i="241"/>
  <c r="CI15" i="241"/>
  <c r="CT15" i="241" s="1"/>
  <c r="CN15" i="241"/>
  <c r="CL15" i="241"/>
  <c r="CH15" i="241"/>
  <c r="CO15" i="241"/>
  <c r="CP15" i="241"/>
  <c r="BB17" i="241"/>
  <c r="FN17" i="241" s="1"/>
  <c r="L17" i="241"/>
  <c r="FG17" i="241" s="1"/>
  <c r="FH15" i="241"/>
  <c r="BL15" i="241"/>
  <c r="FY15" i="241" s="1"/>
  <c r="FV15" i="241"/>
  <c r="BM15" i="241"/>
  <c r="GB15" i="241" s="1"/>
  <c r="DN16" i="241"/>
  <c r="DB16" i="241" s="1"/>
  <c r="BY16" i="241"/>
  <c r="BW16" i="241"/>
  <c r="CG16" i="241"/>
  <c r="FS11" i="241"/>
  <c r="BG11" i="241"/>
  <c r="BI11" i="241" s="1"/>
  <c r="AX11" i="241"/>
  <c r="AZ11" i="241" s="1"/>
  <c r="BA11" i="241" s="1"/>
  <c r="FM11" i="241" s="1"/>
  <c r="FP9" i="241"/>
  <c r="EB9" i="241"/>
  <c r="EX9" i="241" s="1"/>
  <c r="FI9" i="241"/>
  <c r="GC9" i="241" s="1"/>
  <c r="AC14" i="241"/>
  <c r="T13" i="241"/>
  <c r="AJ13" i="241"/>
  <c r="AI13" i="241"/>
  <c r="EW14" i="241"/>
  <c r="FQ9" i="241"/>
  <c r="BE9" i="241"/>
  <c r="EU17" i="241"/>
  <c r="DV17" i="241"/>
  <c r="ER17" i="241"/>
  <c r="D17" i="241"/>
  <c r="AO17" i="241"/>
  <c r="BF8" i="241"/>
  <c r="BH8" i="241"/>
  <c r="DZ10" i="241"/>
  <c r="EA10" i="241"/>
  <c r="DO16" i="241"/>
  <c r="DC16" i="241" s="1"/>
  <c r="DG16" i="241"/>
  <c r="CU16" i="241" s="1"/>
  <c r="DI16" i="241"/>
  <c r="CW16" i="241" s="1"/>
  <c r="DK16" i="241"/>
  <c r="DM16" i="241"/>
  <c r="DA16" i="241" s="1"/>
  <c r="AM12" i="241"/>
  <c r="FW11" i="241"/>
  <c r="BU11" i="241"/>
  <c r="BT11" i="241"/>
  <c r="DR10" i="241"/>
  <c r="DQ10" i="241"/>
  <c r="DS10" i="241" s="1"/>
  <c r="DJ17" i="241" l="1"/>
  <c r="CX17" i="241" s="1"/>
  <c r="FE17" i="241"/>
  <c r="ES12" i="241"/>
  <c r="ET14" i="241" s="1"/>
  <c r="EV14" i="241" s="1"/>
  <c r="FR14" i="241" s="1"/>
  <c r="AP18" i="241"/>
  <c r="Z18" i="241" s="1"/>
  <c r="AG18" i="241" s="1"/>
  <c r="GG14" i="241"/>
  <c r="GI14" i="241" s="1"/>
  <c r="GF8" i="241"/>
  <c r="BY17" i="241"/>
  <c r="DN17" i="241"/>
  <c r="DB17" i="241" s="1"/>
  <c r="EZ10" i="241"/>
  <c r="FA9" i="241"/>
  <c r="EY9" i="241"/>
  <c r="FD9" i="241" s="1"/>
  <c r="FB9" i="241"/>
  <c r="FC9" i="241" s="1"/>
  <c r="EM17" i="241"/>
  <c r="EE17" i="241"/>
  <c r="ED17" i="241"/>
  <c r="EC17" i="241"/>
  <c r="EH17" i="241" s="1"/>
  <c r="AS17" i="241"/>
  <c r="AR17" i="241"/>
  <c r="EQ17" i="241"/>
  <c r="EN17" i="241"/>
  <c r="EF17" i="241"/>
  <c r="J17" i="241"/>
  <c r="FF17" i="241" s="1"/>
  <c r="EP17" i="241"/>
  <c r="EG17" i="241"/>
  <c r="EO17" i="241"/>
  <c r="BD17" i="241"/>
  <c r="AY13" i="241"/>
  <c r="FT13" i="241"/>
  <c r="BJ13" i="241"/>
  <c r="AV13" i="241"/>
  <c r="AQ13" i="241" s="1"/>
  <c r="AU13" i="241" s="1"/>
  <c r="AW13" i="241"/>
  <c r="CD17" i="241"/>
  <c r="DL17" i="241"/>
  <c r="CZ17" i="241" s="1"/>
  <c r="DF17" i="241"/>
  <c r="GD8" i="241"/>
  <c r="GE7" i="241"/>
  <c r="GH7" i="241" s="1"/>
  <c r="DU19" i="241"/>
  <c r="F19" i="241"/>
  <c r="DT19" i="241"/>
  <c r="DY19" i="241"/>
  <c r="B19" i="241"/>
  <c r="A20" i="241"/>
  <c r="G19" i="241"/>
  <c r="I19" i="241"/>
  <c r="H19" i="241"/>
  <c r="C19" i="241"/>
  <c r="DW19" i="241"/>
  <c r="E19" i="241"/>
  <c r="BT12" i="241"/>
  <c r="FW12" i="241"/>
  <c r="BU12" i="241"/>
  <c r="BF9" i="241"/>
  <c r="BH9" i="241"/>
  <c r="BW17" i="241"/>
  <c r="CG17" i="241"/>
  <c r="BK17" i="241"/>
  <c r="FX17" i="241" s="1"/>
  <c r="FV16" i="241"/>
  <c r="BM16" i="241"/>
  <c r="GB16" i="241" s="1"/>
  <c r="FQ10" i="241"/>
  <c r="BE10" i="241"/>
  <c r="CO16" i="241"/>
  <c r="CN16" i="241"/>
  <c r="CM16" i="241"/>
  <c r="CL16" i="241"/>
  <c r="CS16" i="241"/>
  <c r="CK16" i="241"/>
  <c r="CP16" i="241"/>
  <c r="CH16" i="241"/>
  <c r="CY16" i="241"/>
  <c r="CR16" i="241"/>
  <c r="CQ16" i="241"/>
  <c r="CJ16" i="241"/>
  <c r="CI16" i="241"/>
  <c r="CT16" i="241" s="1"/>
  <c r="CE17" i="241"/>
  <c r="DE17" i="241"/>
  <c r="CA17" i="241"/>
  <c r="DX18" i="241"/>
  <c r="BN18" i="241"/>
  <c r="FZ18" i="241" s="1"/>
  <c r="T14" i="241"/>
  <c r="AI14" i="241"/>
  <c r="AC15" i="241"/>
  <c r="AJ14" i="241"/>
  <c r="EW15" i="241"/>
  <c r="DK17" i="241"/>
  <c r="DM17" i="241"/>
  <c r="DA17" i="241" s="1"/>
  <c r="DG17" i="241"/>
  <c r="CU17" i="241" s="1"/>
  <c r="AE15" i="241"/>
  <c r="AF16" i="241"/>
  <c r="AD19" i="241"/>
  <c r="AK18" i="241"/>
  <c r="FP10" i="241"/>
  <c r="EB10" i="241"/>
  <c r="EX10" i="241" s="1"/>
  <c r="FI10" i="241"/>
  <c r="GC10" i="241" s="1"/>
  <c r="DR11" i="241"/>
  <c r="DQ11" i="241"/>
  <c r="AN17" i="241"/>
  <c r="V17" i="241" s="1"/>
  <c r="AT17" i="241" s="1"/>
  <c r="Y17" i="241"/>
  <c r="CC17" i="241"/>
  <c r="CB17" i="241"/>
  <c r="BP17" i="241"/>
  <c r="BQ17" i="241" s="1"/>
  <c r="DO17" i="241"/>
  <c r="DC17" i="241" s="1"/>
  <c r="AH14" i="241"/>
  <c r="AL14" i="241" s="1"/>
  <c r="BB18" i="241"/>
  <c r="FN18" i="241" s="1"/>
  <c r="L18" i="241"/>
  <c r="FG18" i="241" s="1"/>
  <c r="EI16" i="241"/>
  <c r="EJ16" i="241" s="1"/>
  <c r="EK16" i="241" s="1"/>
  <c r="EL16" i="241" s="1"/>
  <c r="M17" i="241"/>
  <c r="K17" i="241"/>
  <c r="BV17" i="241"/>
  <c r="DH17" i="241"/>
  <c r="CV17" i="241" s="1"/>
  <c r="BX17" i="241"/>
  <c r="BR17" i="241"/>
  <c r="BS17" i="241" s="1"/>
  <c r="EU18" i="241"/>
  <c r="DV18" i="241"/>
  <c r="ER18" i="241"/>
  <c r="D18" i="241"/>
  <c r="N16" i="241"/>
  <c r="BO16" i="241"/>
  <c r="GA16" i="241" s="1"/>
  <c r="AM13" i="241"/>
  <c r="EA11" i="241"/>
  <c r="DZ11" i="241"/>
  <c r="DI17" i="241"/>
  <c r="CW17" i="241" s="1"/>
  <c r="DP17" i="241"/>
  <c r="DD17" i="241" s="1"/>
  <c r="CF17" i="241"/>
  <c r="BZ17" i="241"/>
  <c r="FH16" i="241"/>
  <c r="BL16" i="241"/>
  <c r="FY16" i="241" s="1"/>
  <c r="FL18" i="241"/>
  <c r="FK18" i="241"/>
  <c r="FU18" i="241"/>
  <c r="FJ18" i="241"/>
  <c r="FO18" i="241"/>
  <c r="FS12" i="241"/>
  <c r="BG12" i="241"/>
  <c r="BI12" i="241" s="1"/>
  <c r="AX12" i="241"/>
  <c r="AZ12" i="241" s="1"/>
  <c r="BA12" i="241" s="1"/>
  <c r="FM12" i="241" s="1"/>
  <c r="DJ18" i="241" l="1"/>
  <c r="CX18" i="241" s="1"/>
  <c r="FE18" i="241"/>
  <c r="ES13" i="241"/>
  <c r="ET15" i="241" s="1"/>
  <c r="EV15" i="241" s="1"/>
  <c r="FR15" i="241" s="1"/>
  <c r="GG15" i="241"/>
  <c r="GI15" i="241" s="1"/>
  <c r="AP19" i="241"/>
  <c r="Z19" i="241" s="1"/>
  <c r="AG19" i="241" s="1"/>
  <c r="GF9" i="241"/>
  <c r="EZ11" i="241"/>
  <c r="BR18" i="241"/>
  <c r="BS18" i="241" s="1"/>
  <c r="DF18" i="241"/>
  <c r="DH18" i="241"/>
  <c r="CV18" i="241" s="1"/>
  <c r="EI17" i="241"/>
  <c r="EJ17" i="241" s="1"/>
  <c r="EK17" i="241" s="1"/>
  <c r="EL17" i="241" s="1"/>
  <c r="BW18" i="241"/>
  <c r="BX18" i="241"/>
  <c r="BV18" i="241"/>
  <c r="CY17" i="241"/>
  <c r="CQ17" i="241"/>
  <c r="CI17" i="241"/>
  <c r="CT17" i="241" s="1"/>
  <c r="CP17" i="241"/>
  <c r="CH17" i="241"/>
  <c r="CO17" i="241"/>
  <c r="CN17" i="241"/>
  <c r="CM17" i="241"/>
  <c r="CR17" i="241"/>
  <c r="CJ17" i="241"/>
  <c r="CS17" i="241"/>
  <c r="CL17" i="241"/>
  <c r="CK17" i="241"/>
  <c r="DQ12" i="241"/>
  <c r="DR12" i="241"/>
  <c r="GD9" i="241"/>
  <c r="GE8" i="241"/>
  <c r="GH8" i="241" s="1"/>
  <c r="BU13" i="241"/>
  <c r="BT13" i="241"/>
  <c r="FW13" i="241"/>
  <c r="N17" i="241"/>
  <c r="BO17" i="241"/>
  <c r="GA17" i="241" s="1"/>
  <c r="EB11" i="241"/>
  <c r="EX11" i="241" s="1"/>
  <c r="FP11" i="241"/>
  <c r="FI11" i="241"/>
  <c r="GC11" i="241" s="1"/>
  <c r="EQ18" i="241"/>
  <c r="EO18" i="241"/>
  <c r="EG18" i="241"/>
  <c r="J18" i="241"/>
  <c r="FF18" i="241" s="1"/>
  <c r="EN18" i="241"/>
  <c r="EF18" i="241"/>
  <c r="EM18" i="241"/>
  <c r="EE18" i="241"/>
  <c r="ED18" i="241"/>
  <c r="EC18" i="241"/>
  <c r="EH18" i="241" s="1"/>
  <c r="AS18" i="241"/>
  <c r="EP18" i="241"/>
  <c r="AR18" i="241"/>
  <c r="BD18" i="241"/>
  <c r="FV17" i="241"/>
  <c r="BM17" i="241"/>
  <c r="GB17" i="241" s="1"/>
  <c r="CD18" i="241"/>
  <c r="BZ18" i="241"/>
  <c r="CB18" i="241"/>
  <c r="DW20" i="241"/>
  <c r="H20" i="241"/>
  <c r="A21" i="241"/>
  <c r="G20" i="241"/>
  <c r="DU20" i="241"/>
  <c r="F20" i="241"/>
  <c r="DT20" i="241"/>
  <c r="I20" i="241"/>
  <c r="C20" i="241"/>
  <c r="B20" i="241"/>
  <c r="DY20" i="241"/>
  <c r="E20" i="241"/>
  <c r="EA12" i="241"/>
  <c r="DZ12" i="241"/>
  <c r="FH17" i="241"/>
  <c r="BL17" i="241"/>
  <c r="FY17" i="241" s="1"/>
  <c r="AK19" i="241"/>
  <c r="AD20" i="241"/>
  <c r="AM14" i="241"/>
  <c r="CE18" i="241"/>
  <c r="BY18" i="241"/>
  <c r="DN18" i="241"/>
  <c r="DB18" i="241" s="1"/>
  <c r="DP18" i="241"/>
  <c r="DD18" i="241" s="1"/>
  <c r="BF10" i="241"/>
  <c r="BH10" i="241"/>
  <c r="BN19" i="241"/>
  <c r="FZ19" i="241" s="1"/>
  <c r="DX19" i="241"/>
  <c r="FK19" i="241"/>
  <c r="FL19" i="241"/>
  <c r="FJ19" i="241"/>
  <c r="FU19" i="241"/>
  <c r="FO19" i="241"/>
  <c r="FQ11" i="241"/>
  <c r="BE11" i="241"/>
  <c r="ER19" i="241"/>
  <c r="D19" i="241"/>
  <c r="DV19" i="241"/>
  <c r="EU19" i="241"/>
  <c r="DS11" i="241"/>
  <c r="AF17" i="241"/>
  <c r="AO18" i="241" s="1"/>
  <c r="AN18" i="241" s="1"/>
  <c r="V18" i="241" s="1"/>
  <c r="AT18" i="241" s="1"/>
  <c r="AE16" i="241"/>
  <c r="AC16" i="241"/>
  <c r="AI15" i="241"/>
  <c r="T15" i="241"/>
  <c r="AJ15" i="241"/>
  <c r="EW16" i="241"/>
  <c r="DK18" i="241"/>
  <c r="CG18" i="241"/>
  <c r="BK18" i="241"/>
  <c r="FX18" i="241" s="1"/>
  <c r="EY10" i="241"/>
  <c r="FD10" i="241" s="1"/>
  <c r="FA10" i="241"/>
  <c r="FB10" i="241"/>
  <c r="FC10" i="241" s="1"/>
  <c r="AH15" i="241"/>
  <c r="AL15" i="241" s="1"/>
  <c r="CF18" i="241"/>
  <c r="DE18" i="241"/>
  <c r="CA18" i="241"/>
  <c r="L19" i="241"/>
  <c r="FG19" i="241" s="1"/>
  <c r="BB19" i="241"/>
  <c r="FN19" i="241" s="1"/>
  <c r="FT14" i="241"/>
  <c r="AY14" i="241"/>
  <c r="BJ14" i="241"/>
  <c r="AW14" i="241"/>
  <c r="AV14" i="241"/>
  <c r="AQ14" i="241" s="1"/>
  <c r="AU14" i="241" s="1"/>
  <c r="DL18" i="241"/>
  <c r="CZ18" i="241" s="1"/>
  <c r="DM18" i="241"/>
  <c r="DA18" i="241" s="1"/>
  <c r="DG18" i="241"/>
  <c r="CU18" i="241" s="1"/>
  <c r="CC18" i="241"/>
  <c r="K18" i="241"/>
  <c r="M18" i="241"/>
  <c r="BP18" i="241"/>
  <c r="BQ18" i="241" s="1"/>
  <c r="DO18" i="241"/>
  <c r="DC18" i="241" s="1"/>
  <c r="DI18" i="241"/>
  <c r="CW18" i="241" s="1"/>
  <c r="FS13" i="241"/>
  <c r="AX13" i="241"/>
  <c r="AZ13" i="241" s="1"/>
  <c r="BA13" i="241" s="1"/>
  <c r="FM13" i="241" s="1"/>
  <c r="BG13" i="241"/>
  <c r="BI13" i="241" s="1"/>
  <c r="CF19" i="241" l="1"/>
  <c r="FE19" i="241"/>
  <c r="ES14" i="241"/>
  <c r="ET16" i="241" s="1"/>
  <c r="EV16" i="241" s="1"/>
  <c r="FR16" i="241" s="1"/>
  <c r="Y18" i="241"/>
  <c r="AF18" i="241" s="1"/>
  <c r="GG16" i="241"/>
  <c r="GI16" i="241" s="1"/>
  <c r="AP20" i="241"/>
  <c r="Z20" i="241" s="1"/>
  <c r="AG20" i="241" s="1"/>
  <c r="GF10" i="241"/>
  <c r="DG19" i="241"/>
  <c r="CU19" i="241" s="1"/>
  <c r="BY19" i="241"/>
  <c r="EZ12" i="241"/>
  <c r="BR19" i="241"/>
  <c r="BS19" i="241" s="1"/>
  <c r="EI18" i="241"/>
  <c r="EJ18" i="241" s="1"/>
  <c r="EK18" i="241" s="1"/>
  <c r="EL18" i="241" s="1"/>
  <c r="CG19" i="241"/>
  <c r="DP19" i="241"/>
  <c r="DD19" i="241" s="1"/>
  <c r="BZ19" i="241"/>
  <c r="DM19" i="241"/>
  <c r="DA19" i="241" s="1"/>
  <c r="CA19" i="241"/>
  <c r="DF19" i="241"/>
  <c r="CB19" i="241"/>
  <c r="DN19" i="241"/>
  <c r="DB19" i="241" s="1"/>
  <c r="CD19" i="241"/>
  <c r="BW19" i="241"/>
  <c r="DK19" i="241"/>
  <c r="BP19" i="241"/>
  <c r="BQ19" i="241" s="1"/>
  <c r="AY15" i="241"/>
  <c r="FT15" i="241"/>
  <c r="BJ15" i="241"/>
  <c r="AW15" i="241"/>
  <c r="AV15" i="241"/>
  <c r="AQ15" i="241" s="1"/>
  <c r="AU15" i="241" s="1"/>
  <c r="BK19" i="241"/>
  <c r="FX19" i="241" s="1"/>
  <c r="FV18" i="241"/>
  <c r="BM18" i="241"/>
  <c r="GB18" i="241" s="1"/>
  <c r="DX20" i="241"/>
  <c r="BN20" i="241"/>
  <c r="FZ20" i="241" s="1"/>
  <c r="N18" i="241"/>
  <c r="BO18" i="241"/>
  <c r="GA18" i="241" s="1"/>
  <c r="FQ12" i="241"/>
  <c r="BE12" i="241"/>
  <c r="AJ16" i="241"/>
  <c r="AC17" i="241"/>
  <c r="AI16" i="241"/>
  <c r="EW17" i="241"/>
  <c r="T16" i="241"/>
  <c r="CE19" i="241"/>
  <c r="DE19" i="241"/>
  <c r="EB12" i="241"/>
  <c r="EX12" i="241" s="1"/>
  <c r="FP12" i="241"/>
  <c r="FI12" i="241"/>
  <c r="GC12" i="241" s="1"/>
  <c r="BB20" i="241"/>
  <c r="FN20" i="241" s="1"/>
  <c r="L20" i="241"/>
  <c r="FG20" i="241" s="1"/>
  <c r="FS14" i="241"/>
  <c r="BG14" i="241"/>
  <c r="BI14" i="241" s="1"/>
  <c r="AX14" i="241"/>
  <c r="AZ14" i="241" s="1"/>
  <c r="BA14" i="241" s="1"/>
  <c r="FM14" i="241" s="1"/>
  <c r="AH16" i="241"/>
  <c r="AL16" i="241" s="1"/>
  <c r="BF11" i="241"/>
  <c r="BH11" i="241"/>
  <c r="AK20" i="241"/>
  <c r="AD21" i="241"/>
  <c r="AE17" i="241"/>
  <c r="FA11" i="241"/>
  <c r="EY11" i="241"/>
  <c r="FD11" i="241" s="1"/>
  <c r="FB11" i="241"/>
  <c r="FC11" i="241" s="1"/>
  <c r="FL20" i="241"/>
  <c r="FK20" i="241"/>
  <c r="FJ20" i="241"/>
  <c r="FU20" i="241"/>
  <c r="FO20" i="241"/>
  <c r="DR13" i="241"/>
  <c r="DQ13" i="241"/>
  <c r="DS13" i="241" s="1"/>
  <c r="FH18" i="241"/>
  <c r="BL18" i="241"/>
  <c r="FY18" i="241" s="1"/>
  <c r="FW14" i="241"/>
  <c r="BU14" i="241"/>
  <c r="BT14" i="241"/>
  <c r="CS18" i="241"/>
  <c r="CK18" i="241"/>
  <c r="CR18" i="241"/>
  <c r="CJ18" i="241"/>
  <c r="CY18" i="241"/>
  <c r="CQ18" i="241"/>
  <c r="CI18" i="241"/>
  <c r="CT18" i="241" s="1"/>
  <c r="CP18" i="241"/>
  <c r="CH18" i="241"/>
  <c r="CO18" i="241"/>
  <c r="CL18" i="241"/>
  <c r="CN18" i="241"/>
  <c r="CM18" i="241"/>
  <c r="BX19" i="241"/>
  <c r="EU20" i="241"/>
  <c r="DV20" i="241"/>
  <c r="ER20" i="241"/>
  <c r="D20" i="241"/>
  <c r="DZ13" i="241"/>
  <c r="EA13" i="241"/>
  <c r="DS12" i="241"/>
  <c r="BV19" i="241"/>
  <c r="DH19" i="241"/>
  <c r="CV19" i="241" s="1"/>
  <c r="CC19" i="241"/>
  <c r="DY21" i="241"/>
  <c r="B21" i="241"/>
  <c r="I21" i="241"/>
  <c r="DW21" i="241"/>
  <c r="H21" i="241"/>
  <c r="A22" i="241"/>
  <c r="G21" i="241"/>
  <c r="DU21" i="241"/>
  <c r="F21" i="241"/>
  <c r="C21" i="241"/>
  <c r="DT21" i="241"/>
  <c r="E21" i="241"/>
  <c r="K19" i="241"/>
  <c r="M19" i="241"/>
  <c r="AM15" i="241"/>
  <c r="EC19" i="241"/>
  <c r="EH19" i="241" s="1"/>
  <c r="AS19" i="241"/>
  <c r="AR19" i="241"/>
  <c r="EQ19" i="241"/>
  <c r="EO19" i="241"/>
  <c r="EG19" i="241"/>
  <c r="J19" i="241"/>
  <c r="FF19" i="241" s="1"/>
  <c r="ED19" i="241"/>
  <c r="EF19" i="241"/>
  <c r="EE19" i="241"/>
  <c r="EP19" i="241"/>
  <c r="EN19" i="241"/>
  <c r="EM19" i="241"/>
  <c r="BD19" i="241"/>
  <c r="DO19" i="241"/>
  <c r="DC19" i="241" s="1"/>
  <c r="DJ19" i="241"/>
  <c r="CX19" i="241" s="1"/>
  <c r="DI19" i="241"/>
  <c r="CW19" i="241" s="1"/>
  <c r="DL19" i="241"/>
  <c r="CZ19" i="241" s="1"/>
  <c r="GD10" i="241"/>
  <c r="GE9" i="241"/>
  <c r="GH9" i="241" s="1"/>
  <c r="DG20" i="241" l="1"/>
  <c r="CU20" i="241" s="1"/>
  <c r="FE20" i="241"/>
  <c r="ES15" i="241"/>
  <c r="ET17" i="241" s="1"/>
  <c r="EV17" i="241" s="1"/>
  <c r="FR17" i="241" s="1"/>
  <c r="CQ19" i="241"/>
  <c r="BK20" i="241"/>
  <c r="FX20" i="241" s="1"/>
  <c r="GG17" i="241"/>
  <c r="GI17" i="241" s="1"/>
  <c r="CK19" i="241"/>
  <c r="AP21" i="241"/>
  <c r="Z21" i="241" s="1"/>
  <c r="AG21" i="241" s="1"/>
  <c r="CH19" i="241"/>
  <c r="CJ19" i="241"/>
  <c r="CI19" i="241"/>
  <c r="CT19" i="241" s="1"/>
  <c r="CN19" i="241"/>
  <c r="CM19" i="241"/>
  <c r="GF11" i="241"/>
  <c r="CP19" i="241"/>
  <c r="CS19" i="241"/>
  <c r="CY19" i="241"/>
  <c r="CR19" i="241"/>
  <c r="CL19" i="241"/>
  <c r="CO19" i="241"/>
  <c r="CC20" i="241"/>
  <c r="BY20" i="241"/>
  <c r="EZ13" i="241"/>
  <c r="DL20" i="241"/>
  <c r="CZ20" i="241" s="1"/>
  <c r="DI20" i="241"/>
  <c r="CW20" i="241" s="1"/>
  <c r="CG20" i="241"/>
  <c r="CD20" i="241"/>
  <c r="DF20" i="241"/>
  <c r="CB20" i="241"/>
  <c r="DN20" i="241"/>
  <c r="DB20" i="241" s="1"/>
  <c r="BW20" i="241"/>
  <c r="DO20" i="241"/>
  <c r="DC20" i="241" s="1"/>
  <c r="BP20" i="241"/>
  <c r="BQ20" i="241" s="1"/>
  <c r="FP13" i="241"/>
  <c r="EB13" i="241"/>
  <c r="EX13" i="241" s="1"/>
  <c r="FI13" i="241"/>
  <c r="GC13" i="241" s="1"/>
  <c r="C22" i="241"/>
  <c r="DY22" i="241"/>
  <c r="B22" i="241"/>
  <c r="I22" i="241"/>
  <c r="DW22" i="241"/>
  <c r="H22" i="241"/>
  <c r="DT22" i="241"/>
  <c r="G22" i="241"/>
  <c r="A23" i="241"/>
  <c r="F22" i="241"/>
  <c r="DU22" i="241"/>
  <c r="E22" i="241"/>
  <c r="FQ13" i="241"/>
  <c r="BE13" i="241"/>
  <c r="AM16" i="241"/>
  <c r="DJ20" i="241"/>
  <c r="CX20" i="241" s="1"/>
  <c r="CE20" i="241"/>
  <c r="DE20" i="241"/>
  <c r="CA20" i="241"/>
  <c r="FW15" i="241"/>
  <c r="BU15" i="241"/>
  <c r="BT15" i="241"/>
  <c r="FH19" i="241"/>
  <c r="BL19" i="241"/>
  <c r="FY19" i="241" s="1"/>
  <c r="T17" i="241"/>
  <c r="AJ17" i="241"/>
  <c r="AC18" i="241"/>
  <c r="AI17" i="241"/>
  <c r="EW18" i="241"/>
  <c r="M20" i="241"/>
  <c r="K20" i="241"/>
  <c r="AK21" i="241"/>
  <c r="AD22" i="241"/>
  <c r="DZ14" i="241"/>
  <c r="EA14" i="241"/>
  <c r="BF12" i="241"/>
  <c r="BH12" i="241"/>
  <c r="DK20" i="241"/>
  <c r="DM20" i="241"/>
  <c r="DA20" i="241" s="1"/>
  <c r="N19" i="241"/>
  <c r="BO19" i="241"/>
  <c r="GA19" i="241" s="1"/>
  <c r="DX21" i="241"/>
  <c r="BN21" i="241"/>
  <c r="FZ21" i="241" s="1"/>
  <c r="FA12" i="241"/>
  <c r="EY12" i="241"/>
  <c r="FD12" i="241" s="1"/>
  <c r="FB12" i="241"/>
  <c r="FC12" i="241" s="1"/>
  <c r="FL21" i="241"/>
  <c r="FK21" i="241"/>
  <c r="FJ21" i="241"/>
  <c r="FU21" i="241"/>
  <c r="FO21" i="241"/>
  <c r="GD11" i="241"/>
  <c r="GE10" i="241"/>
  <c r="GH10" i="241" s="1"/>
  <c r="EM20" i="241"/>
  <c r="EE20" i="241"/>
  <c r="ED20" i="241"/>
  <c r="EC20" i="241"/>
  <c r="EH20" i="241" s="1"/>
  <c r="AS20" i="241"/>
  <c r="AR20" i="241"/>
  <c r="EQ20" i="241"/>
  <c r="EN20" i="241"/>
  <c r="EF20" i="241"/>
  <c r="EP20" i="241"/>
  <c r="EO20" i="241"/>
  <c r="J20" i="241"/>
  <c r="FF20" i="241" s="1"/>
  <c r="EG20" i="241"/>
  <c r="BD20" i="241"/>
  <c r="DQ14" i="241"/>
  <c r="DS14" i="241" s="1"/>
  <c r="DR14" i="241"/>
  <c r="AE18" i="241"/>
  <c r="AO19" i="241"/>
  <c r="DH20" i="241"/>
  <c r="CV20" i="241" s="1"/>
  <c r="BX20" i="241"/>
  <c r="BR20" i="241"/>
  <c r="BS20" i="241" s="1"/>
  <c r="FS15" i="241"/>
  <c r="BG15" i="241"/>
  <c r="AX15" i="241"/>
  <c r="AZ15" i="241" s="1"/>
  <c r="BA15" i="241" s="1"/>
  <c r="FM15" i="241" s="1"/>
  <c r="BB21" i="241"/>
  <c r="FN21" i="241" s="1"/>
  <c r="L21" i="241"/>
  <c r="FG21" i="241" s="1"/>
  <c r="AH17" i="241"/>
  <c r="AL17" i="241" s="1"/>
  <c r="AY16" i="241"/>
  <c r="FT16" i="241"/>
  <c r="BJ16" i="241"/>
  <c r="AV16" i="241"/>
  <c r="AQ16" i="241" s="1"/>
  <c r="AU16" i="241" s="1"/>
  <c r="AW16" i="241"/>
  <c r="BV20" i="241"/>
  <c r="DP20" i="241"/>
  <c r="DD20" i="241" s="1"/>
  <c r="CF20" i="241"/>
  <c r="BZ20" i="241"/>
  <c r="EI19" i="241"/>
  <c r="EJ19" i="241" s="1"/>
  <c r="EK19" i="241" s="1"/>
  <c r="EL19" i="241" s="1"/>
  <c r="EU21" i="241"/>
  <c r="DV21" i="241"/>
  <c r="ER21" i="241"/>
  <c r="D21" i="241"/>
  <c r="BR21" i="241" l="1"/>
  <c r="BS21" i="241" s="1"/>
  <c r="FE21" i="241"/>
  <c r="ES16" i="241"/>
  <c r="ET18" i="241" s="1"/>
  <c r="EV18" i="241" s="1"/>
  <c r="FR18" i="241" s="1"/>
  <c r="GG18" i="241"/>
  <c r="GI18" i="241" s="1"/>
  <c r="AP22" i="241"/>
  <c r="Z22" i="241" s="1"/>
  <c r="AG22" i="241" s="1"/>
  <c r="EI20" i="241"/>
  <c r="EJ20" i="241" s="1"/>
  <c r="EK20" i="241" s="1"/>
  <c r="EL20" i="241" s="1"/>
  <c r="GF12" i="241"/>
  <c r="BK21" i="241"/>
  <c r="FX21" i="241" s="1"/>
  <c r="DM21" i="241"/>
  <c r="DA21" i="241" s="1"/>
  <c r="DK21" i="241"/>
  <c r="CY21" i="241" s="1"/>
  <c r="CA21" i="241"/>
  <c r="CF21" i="241"/>
  <c r="DL21" i="241"/>
  <c r="CZ21" i="241" s="1"/>
  <c r="CG21" i="241"/>
  <c r="DE21" i="241"/>
  <c r="FQ14" i="241"/>
  <c r="BE14" i="241"/>
  <c r="FS16" i="241"/>
  <c r="AX16" i="241"/>
  <c r="AZ16" i="241" s="1"/>
  <c r="BA16" i="241" s="1"/>
  <c r="FM16" i="241" s="1"/>
  <c r="BG16" i="241"/>
  <c r="DG21" i="241"/>
  <c r="CU21" i="241" s="1"/>
  <c r="CC21" i="241"/>
  <c r="FT17" i="241"/>
  <c r="AY17" i="241"/>
  <c r="BJ17" i="241"/>
  <c r="AV17" i="241"/>
  <c r="AQ17" i="241" s="1"/>
  <c r="AU17" i="241" s="1"/>
  <c r="AW17" i="241"/>
  <c r="BN22" i="241"/>
  <c r="FZ22" i="241" s="1"/>
  <c r="DX22" i="241"/>
  <c r="K21" i="241"/>
  <c r="M21" i="241"/>
  <c r="FW16" i="241"/>
  <c r="BU16" i="241"/>
  <c r="BT16" i="241"/>
  <c r="DO21" i="241"/>
  <c r="DC21" i="241" s="1"/>
  <c r="DI21" i="241"/>
  <c r="CW21" i="241" s="1"/>
  <c r="CY20" i="241"/>
  <c r="CQ20" i="241"/>
  <c r="CI20" i="241"/>
  <c r="CT20" i="241" s="1"/>
  <c r="CP20" i="241"/>
  <c r="CH20" i="241"/>
  <c r="CO20" i="241"/>
  <c r="CN20" i="241"/>
  <c r="CM20" i="241"/>
  <c r="CR20" i="241"/>
  <c r="CJ20" i="241"/>
  <c r="CL20" i="241"/>
  <c r="CK20" i="241"/>
  <c r="CS20" i="241"/>
  <c r="N20" i="241"/>
  <c r="BO20" i="241"/>
  <c r="GA20" i="241" s="1"/>
  <c r="BP21" i="241"/>
  <c r="BQ21" i="241" s="1"/>
  <c r="BV21" i="241"/>
  <c r="L22" i="241"/>
  <c r="FG22" i="241" s="1"/>
  <c r="BB22" i="241"/>
  <c r="FN22" i="241" s="1"/>
  <c r="D22" i="241"/>
  <c r="EU22" i="241"/>
  <c r="ER22" i="241"/>
  <c r="DV22" i="241"/>
  <c r="GD12" i="241"/>
  <c r="GE11" i="241"/>
  <c r="GH11" i="241" s="1"/>
  <c r="AM17" i="241"/>
  <c r="EO21" i="241"/>
  <c r="EG21" i="241"/>
  <c r="J21" i="241"/>
  <c r="FF21" i="241" s="1"/>
  <c r="EN21" i="241"/>
  <c r="EF21" i="241"/>
  <c r="EM21" i="241"/>
  <c r="EE21" i="241"/>
  <c r="ED21" i="241"/>
  <c r="EC21" i="241"/>
  <c r="EH21" i="241" s="1"/>
  <c r="AS21" i="241"/>
  <c r="EP21" i="241"/>
  <c r="EQ21" i="241"/>
  <c r="AR21" i="241"/>
  <c r="BD21" i="241"/>
  <c r="Y19" i="241"/>
  <c r="AF19" i="241" s="1"/>
  <c r="AN19" i="241"/>
  <c r="V19" i="241" s="1"/>
  <c r="BW21" i="241"/>
  <c r="CD21" i="241"/>
  <c r="BZ21" i="241"/>
  <c r="CB21" i="241"/>
  <c r="FH20" i="241"/>
  <c r="BL20" i="241"/>
  <c r="FY20" i="241" s="1"/>
  <c r="DU23" i="241"/>
  <c r="F23" i="241"/>
  <c r="DT23" i="241"/>
  <c r="C23" i="241"/>
  <c r="DY23" i="241"/>
  <c r="B23" i="241"/>
  <c r="A24" i="241"/>
  <c r="G23" i="241"/>
  <c r="I23" i="241"/>
  <c r="H23" i="241"/>
  <c r="DW23" i="241"/>
  <c r="E23" i="241"/>
  <c r="FL22" i="241"/>
  <c r="FK22" i="241"/>
  <c r="FJ22" i="241"/>
  <c r="FU22" i="241"/>
  <c r="FO22" i="241"/>
  <c r="T18" i="241"/>
  <c r="AI18" i="241"/>
  <c r="AJ18" i="241"/>
  <c r="EW19" i="241"/>
  <c r="BX21" i="241"/>
  <c r="DJ21" i="241"/>
  <c r="CX21" i="241" s="1"/>
  <c r="DF21" i="241"/>
  <c r="DH21" i="241"/>
  <c r="CV21" i="241" s="1"/>
  <c r="EZ14" i="241"/>
  <c r="DQ15" i="241"/>
  <c r="DS15" i="241" s="1"/>
  <c r="DR15" i="241"/>
  <c r="BF13" i="241"/>
  <c r="BH13" i="241"/>
  <c r="AD23" i="241"/>
  <c r="AK22" i="241"/>
  <c r="AH18" i="241"/>
  <c r="AL18" i="241" s="1"/>
  <c r="CE21" i="241"/>
  <c r="BY21" i="241"/>
  <c r="DN21" i="241"/>
  <c r="DB21" i="241" s="1"/>
  <c r="DP21" i="241"/>
  <c r="DD21" i="241" s="1"/>
  <c r="FP14" i="241"/>
  <c r="EB14" i="241"/>
  <c r="EX14" i="241" s="1"/>
  <c r="FI14" i="241"/>
  <c r="GC14" i="241" s="1"/>
  <c r="FA13" i="241"/>
  <c r="EY13" i="241"/>
  <c r="FD13" i="241" s="1"/>
  <c r="FB13" i="241"/>
  <c r="FC13" i="241" s="1"/>
  <c r="CE22" i="241" l="1"/>
  <c r="FE22" i="241"/>
  <c r="ES17" i="241"/>
  <c r="ET19" i="241" s="1"/>
  <c r="EV19" i="241" s="1"/>
  <c r="FR19" i="241" s="1"/>
  <c r="GG19" i="241"/>
  <c r="GI19" i="241" s="1"/>
  <c r="CL21" i="241"/>
  <c r="CK21" i="241"/>
  <c r="CS21" i="241"/>
  <c r="AP23" i="241"/>
  <c r="Z23" i="241" s="1"/>
  <c r="AG23" i="241" s="1"/>
  <c r="GF13" i="241"/>
  <c r="CJ21" i="241"/>
  <c r="CO21" i="241"/>
  <c r="CQ21" i="241"/>
  <c r="CR21" i="241"/>
  <c r="CN21" i="241"/>
  <c r="CM21" i="241"/>
  <c r="CP21" i="241"/>
  <c r="CH21" i="241"/>
  <c r="CI21" i="241"/>
  <c r="CT21" i="241" s="1"/>
  <c r="DN22" i="241"/>
  <c r="DB22" i="241" s="1"/>
  <c r="DO22" i="241"/>
  <c r="DC22" i="241" s="1"/>
  <c r="DI22" i="241"/>
  <c r="CW22" i="241" s="1"/>
  <c r="DK22" i="241"/>
  <c r="CY22" i="241" s="1"/>
  <c r="DM22" i="241"/>
  <c r="DA22" i="241" s="1"/>
  <c r="BP22" i="241"/>
  <c r="BQ22" i="241" s="1"/>
  <c r="FA14" i="241"/>
  <c r="EY14" i="241"/>
  <c r="FD14" i="241" s="1"/>
  <c r="FB14" i="241"/>
  <c r="FC14" i="241" s="1"/>
  <c r="L23" i="241"/>
  <c r="FG23" i="241" s="1"/>
  <c r="BB23" i="241"/>
  <c r="FN23" i="241" s="1"/>
  <c r="EI21" i="241"/>
  <c r="EJ21" i="241" s="1"/>
  <c r="EK21" i="241" s="1"/>
  <c r="EL21" i="241" s="1"/>
  <c r="CG22" i="241"/>
  <c r="DG22" i="241"/>
  <c r="CU22" i="241" s="1"/>
  <c r="CC22" i="241"/>
  <c r="AE19" i="241"/>
  <c r="AO20" i="241"/>
  <c r="AM18" i="241"/>
  <c r="DW24" i="241"/>
  <c r="A25" i="241"/>
  <c r="DU24" i="241"/>
  <c r="DT24" i="241"/>
  <c r="H24" i="241"/>
  <c r="G24" i="241"/>
  <c r="F24" i="241"/>
  <c r="DY24" i="241"/>
  <c r="I24" i="241"/>
  <c r="C24" i="241"/>
  <c r="B24" i="241"/>
  <c r="E24" i="241"/>
  <c r="GD13" i="241"/>
  <c r="GE12" i="241"/>
  <c r="GH12" i="241" s="1"/>
  <c r="EQ22" i="241"/>
  <c r="EP22" i="241"/>
  <c r="EO22" i="241"/>
  <c r="EG22" i="241"/>
  <c r="J22" i="241"/>
  <c r="FF22" i="241" s="1"/>
  <c r="EN22" i="241"/>
  <c r="EF22" i="241"/>
  <c r="EM22" i="241"/>
  <c r="EE22" i="241"/>
  <c r="AR22" i="241"/>
  <c r="AS22" i="241"/>
  <c r="ED22" i="241"/>
  <c r="EC22" i="241"/>
  <c r="EH22" i="241" s="1"/>
  <c r="BD22" i="241"/>
  <c r="BR22" i="241"/>
  <c r="BS22" i="241" s="1"/>
  <c r="BX22" i="241"/>
  <c r="CB22" i="241"/>
  <c r="BV22" i="241"/>
  <c r="BF14" i="241"/>
  <c r="BH14" i="241"/>
  <c r="AT19" i="241"/>
  <c r="ER23" i="241"/>
  <c r="D23" i="241"/>
  <c r="DV23" i="241"/>
  <c r="EU23" i="241"/>
  <c r="DR16" i="241"/>
  <c r="DQ16" i="241"/>
  <c r="DS16" i="241" s="1"/>
  <c r="BY22" i="241"/>
  <c r="CF22" i="241"/>
  <c r="DH22" i="241"/>
  <c r="CV22" i="241" s="1"/>
  <c r="CD22" i="241"/>
  <c r="AY18" i="241"/>
  <c r="FT18" i="241"/>
  <c r="BJ18" i="241"/>
  <c r="AW18" i="241"/>
  <c r="AV18" i="241"/>
  <c r="AQ18" i="241" s="1"/>
  <c r="AU18" i="241" s="1"/>
  <c r="BN23" i="241"/>
  <c r="FZ23" i="241" s="1"/>
  <c r="DX23" i="241"/>
  <c r="FK23" i="241"/>
  <c r="FL23" i="241"/>
  <c r="FU23" i="241"/>
  <c r="FO23" i="241"/>
  <c r="FJ23" i="241"/>
  <c r="DE22" i="241"/>
  <c r="DL22" i="241"/>
  <c r="CZ22" i="241" s="1"/>
  <c r="DP22" i="241"/>
  <c r="DD22" i="241" s="1"/>
  <c r="DJ22" i="241"/>
  <c r="CX22" i="241" s="1"/>
  <c r="AK23" i="241"/>
  <c r="AD24" i="241"/>
  <c r="AC19" i="241"/>
  <c r="N21" i="241"/>
  <c r="BO21" i="241"/>
  <c r="GA21" i="241" s="1"/>
  <c r="BZ22" i="241"/>
  <c r="BK22" i="241"/>
  <c r="FX22" i="241" s="1"/>
  <c r="FS17" i="241"/>
  <c r="AX17" i="241"/>
  <c r="AZ17" i="241" s="1"/>
  <c r="BA17" i="241" s="1"/>
  <c r="FM17" i="241" s="1"/>
  <c r="BG17" i="241"/>
  <c r="FQ15" i="241"/>
  <c r="BE15" i="241"/>
  <c r="K22" i="241"/>
  <c r="M22" i="241"/>
  <c r="FH21" i="241"/>
  <c r="BL21" i="241"/>
  <c r="FY21" i="241" s="1"/>
  <c r="DF22" i="241"/>
  <c r="CA22" i="241"/>
  <c r="BW22" i="241"/>
  <c r="BT17" i="241"/>
  <c r="BU17" i="241"/>
  <c r="FW17" i="241"/>
  <c r="DL23" i="241" l="1"/>
  <c r="CZ23" i="241" s="1"/>
  <c r="FE23" i="241"/>
  <c r="BK23" i="241"/>
  <c r="FX23" i="241" s="1"/>
  <c r="ES18" i="241"/>
  <c r="ET20" i="241" s="1"/>
  <c r="EV20" i="241" s="1"/>
  <c r="FR20" i="241" s="1"/>
  <c r="GG20" i="241"/>
  <c r="GI20" i="241" s="1"/>
  <c r="CL22" i="241"/>
  <c r="CM22" i="241"/>
  <c r="AP24" i="241"/>
  <c r="Z24" i="241" s="1"/>
  <c r="AG24" i="241" s="1"/>
  <c r="GF14" i="241"/>
  <c r="CN22" i="241"/>
  <c r="CK22" i="241"/>
  <c r="CP22" i="241"/>
  <c r="CJ22" i="241"/>
  <c r="CS22" i="241"/>
  <c r="CR22" i="241"/>
  <c r="CQ22" i="241"/>
  <c r="CI22" i="241"/>
  <c r="CT22" i="241" s="1"/>
  <c r="CH22" i="241"/>
  <c r="CO22" i="241"/>
  <c r="DP23" i="241"/>
  <c r="DD23" i="241" s="1"/>
  <c r="BP23" i="241"/>
  <c r="BQ23" i="241" s="1"/>
  <c r="FS18" i="241"/>
  <c r="AX18" i="241"/>
  <c r="AZ18" i="241" s="1"/>
  <c r="BA18" i="241" s="1"/>
  <c r="FM18" i="241" s="1"/>
  <c r="BG18" i="241"/>
  <c r="DY25" i="241"/>
  <c r="B25" i="241"/>
  <c r="I25" i="241"/>
  <c r="DW25" i="241"/>
  <c r="H25" i="241"/>
  <c r="A26" i="241"/>
  <c r="G25" i="241"/>
  <c r="DU25" i="241"/>
  <c r="F25" i="241"/>
  <c r="C25" i="241"/>
  <c r="DT25" i="241"/>
  <c r="E25" i="241"/>
  <c r="DI23" i="241"/>
  <c r="CW23" i="241" s="1"/>
  <c r="DO23" i="241"/>
  <c r="DC23" i="241" s="1"/>
  <c r="BR23" i="241"/>
  <c r="BS23" i="241" s="1"/>
  <c r="BV23" i="241"/>
  <c r="BX23" i="241"/>
  <c r="FL24" i="241"/>
  <c r="FK24" i="241"/>
  <c r="FU24" i="241"/>
  <c r="FJ24" i="241"/>
  <c r="FO24" i="241"/>
  <c r="DR17" i="241"/>
  <c r="DQ17" i="241"/>
  <c r="DS17" i="241" s="1"/>
  <c r="DF23" i="241"/>
  <c r="DJ23" i="241"/>
  <c r="CX23" i="241" s="1"/>
  <c r="FQ16" i="241"/>
  <c r="BE16" i="241"/>
  <c r="GD14" i="241"/>
  <c r="GE13" i="241"/>
  <c r="GH13" i="241" s="1"/>
  <c r="AD25" i="241"/>
  <c r="AK24" i="241"/>
  <c r="EC23" i="241"/>
  <c r="EH23" i="241" s="1"/>
  <c r="AS23" i="241"/>
  <c r="AR23" i="241"/>
  <c r="EQ23" i="241"/>
  <c r="EP23" i="241"/>
  <c r="EO23" i="241"/>
  <c r="EG23" i="241"/>
  <c r="J23" i="241"/>
  <c r="FF23" i="241" s="1"/>
  <c r="ED23" i="241"/>
  <c r="EN23" i="241"/>
  <c r="EM23" i="241"/>
  <c r="EF23" i="241"/>
  <c r="EE23" i="241"/>
  <c r="BD23" i="241"/>
  <c r="FH22" i="241"/>
  <c r="BL22" i="241"/>
  <c r="FY22" i="241" s="1"/>
  <c r="M23" i="241"/>
  <c r="K23" i="241"/>
  <c r="DX24" i="241"/>
  <c r="BN24" i="241"/>
  <c r="FZ24" i="241" s="1"/>
  <c r="BZ23" i="241"/>
  <c r="CF23" i="241"/>
  <c r="BB24" i="241"/>
  <c r="FN24" i="241" s="1"/>
  <c r="L24" i="241"/>
  <c r="FG24" i="241" s="1"/>
  <c r="CA23" i="241"/>
  <c r="DN23" i="241"/>
  <c r="DB23" i="241" s="1"/>
  <c r="BY23" i="241"/>
  <c r="DK23" i="241"/>
  <c r="AH19" i="241"/>
  <c r="AL19" i="241" s="1"/>
  <c r="CD23" i="241"/>
  <c r="FW18" i="241"/>
  <c r="BU18" i="241"/>
  <c r="BT18" i="241"/>
  <c r="DG23" i="241"/>
  <c r="CU23" i="241" s="1"/>
  <c r="BW23" i="241"/>
  <c r="CG23" i="241"/>
  <c r="FV19" i="241"/>
  <c r="BM19" i="241"/>
  <c r="GB19" i="241" s="1"/>
  <c r="EI22" i="241"/>
  <c r="EJ22" i="241" s="1"/>
  <c r="EK22" i="241" s="1"/>
  <c r="EL22" i="241" s="1"/>
  <c r="N22" i="241"/>
  <c r="BO22" i="241"/>
  <c r="GA22" i="241" s="1"/>
  <c r="EU24" i="241"/>
  <c r="ER24" i="241"/>
  <c r="D24" i="241"/>
  <c r="DV24" i="241"/>
  <c r="DH23" i="241"/>
  <c r="CV23" i="241" s="1"/>
  <c r="DM23" i="241"/>
  <c r="DA23" i="241" s="1"/>
  <c r="BF15" i="241"/>
  <c r="BH15" i="241"/>
  <c r="BI15" i="241" s="1"/>
  <c r="AJ19" i="241"/>
  <c r="AI19" i="241"/>
  <c r="EW20" i="241"/>
  <c r="T19" i="241"/>
  <c r="CB23" i="241"/>
  <c r="CC23" i="241"/>
  <c r="CE23" i="241"/>
  <c r="DE23" i="241"/>
  <c r="AN20" i="241"/>
  <c r="V20" i="241" s="1"/>
  <c r="AC20" i="241" s="1"/>
  <c r="Y20" i="241"/>
  <c r="AF20" i="241" s="1"/>
  <c r="DP24" i="241" l="1"/>
  <c r="DD24" i="241" s="1"/>
  <c r="FE24" i="241"/>
  <c r="EA15" i="241"/>
  <c r="EZ15" i="241" s="1"/>
  <c r="DZ15" i="241"/>
  <c r="GG21" i="241"/>
  <c r="GI21" i="241" s="1"/>
  <c r="AP25" i="241"/>
  <c r="Z25" i="241" s="1"/>
  <c r="AG25" i="241" s="1"/>
  <c r="DO24" i="241"/>
  <c r="DC24" i="241" s="1"/>
  <c r="CA24" i="241"/>
  <c r="BW24" i="241"/>
  <c r="DI24" i="241"/>
  <c r="CW24" i="241" s="1"/>
  <c r="BZ24" i="241"/>
  <c r="DL24" i="241"/>
  <c r="CZ24" i="241" s="1"/>
  <c r="BP24" i="241"/>
  <c r="BQ24" i="241" s="1"/>
  <c r="DE24" i="241"/>
  <c r="BX24" i="241"/>
  <c r="DM24" i="241"/>
  <c r="DA24" i="241" s="1"/>
  <c r="CD24" i="241"/>
  <c r="BY24" i="241"/>
  <c r="CC24" i="241"/>
  <c r="BR24" i="241"/>
  <c r="BS24" i="241" s="1"/>
  <c r="FL25" i="241"/>
  <c r="FK25" i="241"/>
  <c r="FJ25" i="241"/>
  <c r="FU25" i="241"/>
  <c r="FO25" i="241"/>
  <c r="AM19" i="241"/>
  <c r="CB24" i="241"/>
  <c r="CF24" i="241"/>
  <c r="DN24" i="241"/>
  <c r="DB24" i="241" s="1"/>
  <c r="DG24" i="241"/>
  <c r="CU24" i="241" s="1"/>
  <c r="GE14" i="241"/>
  <c r="GH14" i="241" s="1"/>
  <c r="EU25" i="241"/>
  <c r="DV25" i="241"/>
  <c r="D25" i="241"/>
  <c r="ER25" i="241"/>
  <c r="T20" i="241"/>
  <c r="AJ20" i="241"/>
  <c r="AE20" i="241"/>
  <c r="AO21" i="241"/>
  <c r="CO23" i="241"/>
  <c r="CN23" i="241"/>
  <c r="CM23" i="241"/>
  <c r="CL23" i="241"/>
  <c r="CS23" i="241"/>
  <c r="CK23" i="241"/>
  <c r="CP23" i="241"/>
  <c r="CH23" i="241"/>
  <c r="CY23" i="241"/>
  <c r="CR23" i="241"/>
  <c r="CI23" i="241"/>
  <c r="CT23" i="241" s="1"/>
  <c r="CJ23" i="241"/>
  <c r="CQ23" i="241"/>
  <c r="FQ17" i="241"/>
  <c r="BE17" i="241"/>
  <c r="BK24" i="241"/>
  <c r="FX24" i="241" s="1"/>
  <c r="AT20" i="241"/>
  <c r="BV24" i="241"/>
  <c r="CE24" i="241"/>
  <c r="CG24" i="241"/>
  <c r="FH23" i="241"/>
  <c r="BL23" i="241"/>
  <c r="FY23" i="241" s="1"/>
  <c r="EI23" i="241"/>
  <c r="EJ23" i="241" s="1"/>
  <c r="EK23" i="241" s="1"/>
  <c r="EL23" i="241" s="1"/>
  <c r="DX25" i="241"/>
  <c r="BN25" i="241"/>
  <c r="FZ25" i="241" s="1"/>
  <c r="C26" i="241"/>
  <c r="DY26" i="241"/>
  <c r="B26" i="241"/>
  <c r="I26" i="241"/>
  <c r="DW26" i="241"/>
  <c r="H26" i="241"/>
  <c r="A27" i="241"/>
  <c r="G26" i="241"/>
  <c r="F26" i="241"/>
  <c r="DT26" i="241"/>
  <c r="DU26" i="241"/>
  <c r="E26" i="241"/>
  <c r="AY19" i="241"/>
  <c r="FT19" i="241"/>
  <c r="BJ19" i="241"/>
  <c r="AW19" i="241"/>
  <c r="AV19" i="241"/>
  <c r="AQ19" i="241" s="1"/>
  <c r="AU19" i="241" s="1"/>
  <c r="EM24" i="241"/>
  <c r="EE24" i="241"/>
  <c r="ED24" i="241"/>
  <c r="EC24" i="241"/>
  <c r="EH24" i="241" s="1"/>
  <c r="EQ24" i="241"/>
  <c r="EG24" i="241"/>
  <c r="EF24" i="241"/>
  <c r="AS24" i="241"/>
  <c r="AR24" i="241"/>
  <c r="EP24" i="241"/>
  <c r="J24" i="241"/>
  <c r="FF24" i="241" s="1"/>
  <c r="EO24" i="241"/>
  <c r="EN24" i="241"/>
  <c r="BD24" i="241"/>
  <c r="DQ18" i="241"/>
  <c r="DS18" i="241" s="1"/>
  <c r="DR18" i="241"/>
  <c r="DF24" i="241"/>
  <c r="DH24" i="241"/>
  <c r="CV24" i="241" s="1"/>
  <c r="DJ24" i="241"/>
  <c r="CX24" i="241" s="1"/>
  <c r="DK24" i="241"/>
  <c r="N23" i="241"/>
  <c r="BO23" i="241"/>
  <c r="GA23" i="241" s="1"/>
  <c r="M24" i="241"/>
  <c r="K24" i="241"/>
  <c r="BF16" i="241"/>
  <c r="BH16" i="241"/>
  <c r="BI16" i="241" s="1"/>
  <c r="AK25" i="241"/>
  <c r="AD26" i="241"/>
  <c r="BB25" i="241"/>
  <c r="FN25" i="241" s="1"/>
  <c r="L25" i="241"/>
  <c r="FG25" i="241" s="1"/>
  <c r="DI25" i="241" l="1"/>
  <c r="CW25" i="241" s="1"/>
  <c r="FE25" i="241"/>
  <c r="ES19" i="241"/>
  <c r="ET21" i="241" s="1"/>
  <c r="EV21" i="241" s="1"/>
  <c r="FR21" i="241" s="1"/>
  <c r="EB15" i="241"/>
  <c r="EX15" i="241" s="1"/>
  <c r="FP15" i="241"/>
  <c r="FI15" i="241"/>
  <c r="GC15" i="241" s="1"/>
  <c r="GG22" i="241"/>
  <c r="GI22" i="241" s="1"/>
  <c r="DF25" i="241"/>
  <c r="DE25" i="241"/>
  <c r="CD25" i="241"/>
  <c r="BV25" i="241"/>
  <c r="EA16" i="241"/>
  <c r="EZ16" i="241" s="1"/>
  <c r="DZ16" i="241"/>
  <c r="DO25" i="241"/>
  <c r="DC25" i="241" s="1"/>
  <c r="AP26" i="241"/>
  <c r="Z26" i="241" s="1"/>
  <c r="AG26" i="241" s="1"/>
  <c r="CE25" i="241"/>
  <c r="CG25" i="241"/>
  <c r="DG25" i="241"/>
  <c r="CU25" i="241" s="1"/>
  <c r="CF25" i="241"/>
  <c r="DM25" i="241"/>
  <c r="DA25" i="241" s="1"/>
  <c r="CB25" i="241"/>
  <c r="BP25" i="241"/>
  <c r="BQ25" i="241" s="1"/>
  <c r="BR25" i="241"/>
  <c r="BS25" i="241" s="1"/>
  <c r="DH25" i="241"/>
  <c r="CV25" i="241" s="1"/>
  <c r="BX25" i="241"/>
  <c r="DJ25" i="241"/>
  <c r="CX25" i="241" s="1"/>
  <c r="BZ25" i="241"/>
  <c r="DP25" i="241"/>
  <c r="DD25" i="241" s="1"/>
  <c r="BW25" i="241"/>
  <c r="DK25" i="241"/>
  <c r="DN25" i="241"/>
  <c r="DB25" i="241" s="1"/>
  <c r="DL25" i="241"/>
  <c r="CZ25" i="241" s="1"/>
  <c r="BY25" i="241"/>
  <c r="CA25" i="241"/>
  <c r="CC25" i="241"/>
  <c r="FL26" i="241"/>
  <c r="FK26" i="241"/>
  <c r="FJ26" i="241"/>
  <c r="FU26" i="241"/>
  <c r="FO26" i="241"/>
  <c r="AD27" i="241"/>
  <c r="AK26" i="241"/>
  <c r="CY24" i="241"/>
  <c r="CQ24" i="241"/>
  <c r="CI24" i="241"/>
  <c r="CT24" i="241" s="1"/>
  <c r="CP24" i="241"/>
  <c r="CH24" i="241"/>
  <c r="CO24" i="241"/>
  <c r="CN24" i="241"/>
  <c r="CM24" i="241"/>
  <c r="CR24" i="241"/>
  <c r="CJ24" i="241"/>
  <c r="CS24" i="241"/>
  <c r="CL24" i="241"/>
  <c r="CK24" i="241"/>
  <c r="EI24" i="241"/>
  <c r="EJ24" i="241" s="1"/>
  <c r="EK24" i="241" s="1"/>
  <c r="EL24" i="241" s="1"/>
  <c r="DU27" i="241"/>
  <c r="F27" i="241"/>
  <c r="DT27" i="241"/>
  <c r="C27" i="241"/>
  <c r="DY27" i="241"/>
  <c r="B27" i="241"/>
  <c r="I27" i="241"/>
  <c r="H27" i="241"/>
  <c r="A28" i="241"/>
  <c r="G27" i="241"/>
  <c r="DW27" i="241"/>
  <c r="E27" i="241"/>
  <c r="AH20" i="241"/>
  <c r="AL20" i="241" s="1"/>
  <c r="AM20" i="241" s="1"/>
  <c r="FT20" i="241"/>
  <c r="AY20" i="241"/>
  <c r="BJ20" i="241"/>
  <c r="AW20" i="241"/>
  <c r="FW19" i="241"/>
  <c r="BU19" i="241"/>
  <c r="BT19" i="241"/>
  <c r="N24" i="241"/>
  <c r="BO24" i="241"/>
  <c r="GA24" i="241" s="1"/>
  <c r="AN21" i="241"/>
  <c r="V21" i="241" s="1"/>
  <c r="Y21" i="241"/>
  <c r="AF21" i="241" s="1"/>
  <c r="BN26" i="241"/>
  <c r="FZ26" i="241" s="1"/>
  <c r="DX26" i="241"/>
  <c r="AV20" i="241"/>
  <c r="AQ20" i="241" s="1"/>
  <c r="AU20" i="241" s="1"/>
  <c r="K25" i="241"/>
  <c r="M25" i="241"/>
  <c r="FH24" i="241"/>
  <c r="BL24" i="241"/>
  <c r="FY24" i="241" s="1"/>
  <c r="FV20" i="241"/>
  <c r="BM20" i="241"/>
  <c r="GB20" i="241" s="1"/>
  <c r="EO25" i="241"/>
  <c r="EG25" i="241"/>
  <c r="J25" i="241"/>
  <c r="FF25" i="241" s="1"/>
  <c r="EN25" i="241"/>
  <c r="EF25" i="241"/>
  <c r="EM25" i="241"/>
  <c r="EE25" i="241"/>
  <c r="ED25" i="241"/>
  <c r="EC25" i="241"/>
  <c r="EH25" i="241" s="1"/>
  <c r="AS25" i="241"/>
  <c r="AR25" i="241"/>
  <c r="EQ25" i="241"/>
  <c r="EP25" i="241"/>
  <c r="BD25" i="241"/>
  <c r="L26" i="241"/>
  <c r="FG26" i="241" s="1"/>
  <c r="BB26" i="241"/>
  <c r="FN26" i="241" s="1"/>
  <c r="FS19" i="241"/>
  <c r="AX19" i="241"/>
  <c r="AZ19" i="241" s="1"/>
  <c r="BA19" i="241" s="1"/>
  <c r="FM19" i="241" s="1"/>
  <c r="BG19" i="241"/>
  <c r="EW21" i="241"/>
  <c r="FQ18" i="241"/>
  <c r="BE18" i="241"/>
  <c r="D26" i="241"/>
  <c r="EU26" i="241"/>
  <c r="DV26" i="241"/>
  <c r="ER26" i="241"/>
  <c r="BK25" i="241"/>
  <c r="FX25" i="241" s="1"/>
  <c r="BF17" i="241"/>
  <c r="BH17" i="241"/>
  <c r="BI17" i="241" s="1"/>
  <c r="AI20" i="241"/>
  <c r="CD26" i="241" l="1"/>
  <c r="FE26" i="241"/>
  <c r="ES20" i="241"/>
  <c r="ET22" i="241" s="1"/>
  <c r="EV22" i="241" s="1"/>
  <c r="FR22" i="241" s="1"/>
  <c r="EY15" i="241"/>
  <c r="FA15" i="241"/>
  <c r="FB15" i="241"/>
  <c r="FC15" i="241" s="1"/>
  <c r="GD15" i="241" s="1"/>
  <c r="GE15" i="241" s="1"/>
  <c r="GH15" i="241" s="1"/>
  <c r="GG23" i="241"/>
  <c r="GI23" i="241" s="1"/>
  <c r="DZ17" i="241"/>
  <c r="EA17" i="241"/>
  <c r="EZ17" i="241" s="1"/>
  <c r="EB16" i="241"/>
  <c r="EX16" i="241" s="1"/>
  <c r="FP16" i="241"/>
  <c r="FI16" i="241"/>
  <c r="GC16" i="241" s="1"/>
  <c r="AP27" i="241"/>
  <c r="Z27" i="241" s="1"/>
  <c r="AG27" i="241" s="1"/>
  <c r="CR25" i="241"/>
  <c r="CI25" i="241"/>
  <c r="CT25" i="241" s="1"/>
  <c r="CK25" i="241"/>
  <c r="CN25" i="241"/>
  <c r="CP25" i="241"/>
  <c r="CQ25" i="241"/>
  <c r="CL25" i="241"/>
  <c r="CY25" i="241"/>
  <c r="CM25" i="241"/>
  <c r="CJ25" i="241"/>
  <c r="CO25" i="241"/>
  <c r="CS25" i="241"/>
  <c r="CH25" i="241"/>
  <c r="BK26" i="241"/>
  <c r="FX26" i="241" s="1"/>
  <c r="EI25" i="241"/>
  <c r="EJ25" i="241" s="1"/>
  <c r="EK25" i="241" s="1"/>
  <c r="EL25" i="241" s="1"/>
  <c r="DM26" i="241"/>
  <c r="DA26" i="241" s="1"/>
  <c r="BZ26" i="241"/>
  <c r="BY26" i="241"/>
  <c r="DH26" i="241"/>
  <c r="CV26" i="241" s="1"/>
  <c r="ER27" i="241"/>
  <c r="D27" i="241"/>
  <c r="DV27" i="241"/>
  <c r="EU27" i="241"/>
  <c r="EQ26" i="241"/>
  <c r="EP26" i="241"/>
  <c r="EO26" i="241"/>
  <c r="EG26" i="241"/>
  <c r="J26" i="241"/>
  <c r="FF26" i="241" s="1"/>
  <c r="EN26" i="241"/>
  <c r="EF26" i="241"/>
  <c r="EM26" i="241"/>
  <c r="EE26" i="241"/>
  <c r="ED26" i="241"/>
  <c r="EC26" i="241"/>
  <c r="EH26" i="241" s="1"/>
  <c r="AS26" i="241"/>
  <c r="AR26" i="241"/>
  <c r="BD26" i="241"/>
  <c r="K26" i="241"/>
  <c r="M26" i="241"/>
  <c r="BP26" i="241"/>
  <c r="BQ26" i="241" s="1"/>
  <c r="DN26" i="241"/>
  <c r="DB26" i="241" s="1"/>
  <c r="DP26" i="241"/>
  <c r="DD26" i="241" s="1"/>
  <c r="DJ26" i="241"/>
  <c r="CX26" i="241" s="1"/>
  <c r="FK27" i="241"/>
  <c r="FL27" i="241"/>
  <c r="FU27" i="241"/>
  <c r="FJ27" i="241"/>
  <c r="FO27" i="241"/>
  <c r="CG26" i="241"/>
  <c r="BF18" i="241"/>
  <c r="BH18" i="241"/>
  <c r="BI18" i="241" s="1"/>
  <c r="FH25" i="241"/>
  <c r="BL25" i="241"/>
  <c r="FY25" i="241" s="1"/>
  <c r="DE26" i="241"/>
  <c r="BT20" i="241"/>
  <c r="FW20" i="241"/>
  <c r="BU20" i="241"/>
  <c r="BN27" i="241"/>
  <c r="FZ27" i="241" s="1"/>
  <c r="DX27" i="241"/>
  <c r="DF26" i="241"/>
  <c r="CA26" i="241"/>
  <c r="BW26" i="241"/>
  <c r="CF26" i="241"/>
  <c r="N25" i="241"/>
  <c r="BO25" i="241"/>
  <c r="GA25" i="241" s="1"/>
  <c r="CB26" i="241"/>
  <c r="FS20" i="241"/>
  <c r="BG20" i="241"/>
  <c r="AX20" i="241"/>
  <c r="AZ20" i="241" s="1"/>
  <c r="BA20" i="241" s="1"/>
  <c r="FM20" i="241" s="1"/>
  <c r="BR26" i="241"/>
  <c r="BS26" i="241" s="1"/>
  <c r="DG26" i="241"/>
  <c r="CU26" i="241" s="1"/>
  <c r="CC26" i="241"/>
  <c r="CE26" i="241"/>
  <c r="AE21" i="241"/>
  <c r="AO22" i="241"/>
  <c r="DQ19" i="241"/>
  <c r="DS19" i="241" s="1"/>
  <c r="DR19" i="241"/>
  <c r="DW28" i="241"/>
  <c r="H28" i="241"/>
  <c r="G28" i="241"/>
  <c r="DU28" i="241"/>
  <c r="F28" i="241"/>
  <c r="DT28" i="241"/>
  <c r="A29" i="241"/>
  <c r="C28" i="241"/>
  <c r="DY28" i="241"/>
  <c r="B28" i="241"/>
  <c r="I28" i="241"/>
  <c r="E28" i="241"/>
  <c r="L27" i="241"/>
  <c r="FG27" i="241" s="1"/>
  <c r="BB27" i="241"/>
  <c r="FN27" i="241" s="1"/>
  <c r="BX26" i="241"/>
  <c r="BV26" i="241"/>
  <c r="DL26" i="241"/>
  <c r="CZ26" i="241" s="1"/>
  <c r="DO26" i="241"/>
  <c r="DC26" i="241" s="1"/>
  <c r="DI26" i="241"/>
  <c r="CW26" i="241" s="1"/>
  <c r="DK26" i="241"/>
  <c r="AT21" i="241"/>
  <c r="AC21" i="241"/>
  <c r="AK27" i="241"/>
  <c r="AD28" i="241"/>
  <c r="BY27" i="241" l="1"/>
  <c r="FE27" i="241"/>
  <c r="GF15" i="241"/>
  <c r="FD15" i="241"/>
  <c r="GG24" i="241"/>
  <c r="GI24" i="241" s="1"/>
  <c r="CA27" i="241"/>
  <c r="CC27" i="241"/>
  <c r="CG27" i="241"/>
  <c r="EA18" i="241"/>
  <c r="EZ18" i="241" s="1"/>
  <c r="DZ18" i="241"/>
  <c r="FA16" i="241"/>
  <c r="EY16" i="241"/>
  <c r="FB16" i="241"/>
  <c r="FC16" i="241" s="1"/>
  <c r="GD16" i="241" s="1"/>
  <c r="EB17" i="241"/>
  <c r="EX17" i="241" s="1"/>
  <c r="FP17" i="241"/>
  <c r="FI17" i="241"/>
  <c r="GC17" i="241" s="1"/>
  <c r="AP28" i="241"/>
  <c r="Z28" i="241" s="1"/>
  <c r="AG28" i="241" s="1"/>
  <c r="BZ27" i="241"/>
  <c r="BV27" i="241"/>
  <c r="DM27" i="241"/>
  <c r="DA27" i="241" s="1"/>
  <c r="DO27" i="241"/>
  <c r="DC27" i="241" s="1"/>
  <c r="BW27" i="241"/>
  <c r="BR27" i="241"/>
  <c r="BS27" i="241" s="1"/>
  <c r="CE27" i="241"/>
  <c r="CB27" i="241"/>
  <c r="DK27" i="241"/>
  <c r="DP27" i="241"/>
  <c r="DD27" i="241" s="1"/>
  <c r="BX27" i="241"/>
  <c r="CF27" i="241"/>
  <c r="DG27" i="241"/>
  <c r="CU27" i="241" s="1"/>
  <c r="DE27" i="241"/>
  <c r="DF27" i="241"/>
  <c r="DI27" i="241"/>
  <c r="CW27" i="241" s="1"/>
  <c r="BP27" i="241"/>
  <c r="BQ27" i="241" s="1"/>
  <c r="CD27" i="241"/>
  <c r="DL27" i="241"/>
  <c r="CZ27" i="241" s="1"/>
  <c r="DN27" i="241"/>
  <c r="DB27" i="241" s="1"/>
  <c r="DH27" i="241"/>
  <c r="CV27" i="241" s="1"/>
  <c r="DJ27" i="241"/>
  <c r="CX27" i="241" s="1"/>
  <c r="EU28" i="241"/>
  <c r="ER28" i="241"/>
  <c r="DV28" i="241"/>
  <c r="D28" i="241"/>
  <c r="BK27" i="241"/>
  <c r="FX27" i="241" s="1"/>
  <c r="FH26" i="241"/>
  <c r="BL26" i="241"/>
  <c r="FY26" i="241" s="1"/>
  <c r="CM26" i="241"/>
  <c r="CL26" i="241"/>
  <c r="CS26" i="241"/>
  <c r="CK26" i="241"/>
  <c r="CR26" i="241"/>
  <c r="CJ26" i="241"/>
  <c r="CY26" i="241"/>
  <c r="CQ26" i="241"/>
  <c r="CI26" i="241"/>
  <c r="CT26" i="241" s="1"/>
  <c r="CP26" i="241"/>
  <c r="CO26" i="241"/>
  <c r="CN26" i="241"/>
  <c r="CH26" i="241"/>
  <c r="DU29" i="241"/>
  <c r="F29" i="241"/>
  <c r="DT29" i="241"/>
  <c r="DY29" i="241"/>
  <c r="B29" i="241"/>
  <c r="A30" i="241"/>
  <c r="G29" i="241"/>
  <c r="I29" i="241"/>
  <c r="H29" i="241"/>
  <c r="C29" i="241"/>
  <c r="DW29" i="241"/>
  <c r="E29" i="241"/>
  <c r="EC27" i="241"/>
  <c r="EH27" i="241" s="1"/>
  <c r="AS27" i="241"/>
  <c r="AR27" i="241"/>
  <c r="EQ27" i="241"/>
  <c r="EP27" i="241"/>
  <c r="EO27" i="241"/>
  <c r="EG27" i="241"/>
  <c r="J27" i="241"/>
  <c r="FF27" i="241" s="1"/>
  <c r="EN27" i="241"/>
  <c r="EF27" i="241"/>
  <c r="EE27" i="241"/>
  <c r="ED27" i="241"/>
  <c r="EM27" i="241"/>
  <c r="BD27" i="241"/>
  <c r="FQ19" i="241"/>
  <c r="BE19" i="241"/>
  <c r="AD29" i="241"/>
  <c r="AK28" i="241"/>
  <c r="BB28" i="241"/>
  <c r="FN28" i="241" s="1"/>
  <c r="L28" i="241"/>
  <c r="FG28" i="241" s="1"/>
  <c r="Y22" i="241"/>
  <c r="AF22" i="241" s="1"/>
  <c r="AN22" i="241"/>
  <c r="V22" i="241" s="1"/>
  <c r="AC22" i="241" s="1"/>
  <c r="N26" i="241"/>
  <c r="BO26" i="241"/>
  <c r="GA26" i="241" s="1"/>
  <c r="M27" i="241"/>
  <c r="K27" i="241"/>
  <c r="FK28" i="241"/>
  <c r="FL28" i="241"/>
  <c r="FJ28" i="241"/>
  <c r="FU28" i="241"/>
  <c r="FO28" i="241"/>
  <c r="T21" i="241"/>
  <c r="AJ21" i="241"/>
  <c r="AI21" i="241"/>
  <c r="EW22" i="241"/>
  <c r="DR20" i="241"/>
  <c r="DQ20" i="241"/>
  <c r="DS20" i="241" s="1"/>
  <c r="FV21" i="241"/>
  <c r="BM21" i="241"/>
  <c r="GB21" i="241" s="1"/>
  <c r="BN28" i="241"/>
  <c r="FZ28" i="241" s="1"/>
  <c r="DX28" i="241"/>
  <c r="AH21" i="241"/>
  <c r="AL21" i="241" s="1"/>
  <c r="EI26" i="241"/>
  <c r="EJ26" i="241" s="1"/>
  <c r="EK26" i="241" s="1"/>
  <c r="EL26" i="241" s="1"/>
  <c r="CK27" i="241" l="1"/>
  <c r="DG28" i="241"/>
  <c r="CU28" i="241" s="1"/>
  <c r="FE28" i="241"/>
  <c r="GF16" i="241"/>
  <c r="FD16" i="241"/>
  <c r="GG25" i="241"/>
  <c r="GI25" i="241" s="1"/>
  <c r="CS27" i="241"/>
  <c r="CR27" i="241"/>
  <c r="CN27" i="241"/>
  <c r="DH28" i="241"/>
  <c r="CV28" i="241" s="1"/>
  <c r="CB28" i="241"/>
  <c r="CL27" i="241"/>
  <c r="CM27" i="241"/>
  <c r="CO27" i="241"/>
  <c r="CD28" i="241"/>
  <c r="DJ28" i="241"/>
  <c r="CX28" i="241" s="1"/>
  <c r="BY28" i="241"/>
  <c r="DE28" i="241"/>
  <c r="BV28" i="241"/>
  <c r="CF28" i="241"/>
  <c r="CC28" i="241"/>
  <c r="BW28" i="241"/>
  <c r="DM28" i="241"/>
  <c r="DA28" i="241" s="1"/>
  <c r="CE28" i="241"/>
  <c r="BR28" i="241"/>
  <c r="BS28" i="241" s="1"/>
  <c r="DP28" i="241"/>
  <c r="DD28" i="241" s="1"/>
  <c r="DK28" i="241"/>
  <c r="CY28" i="241" s="1"/>
  <c r="BZ28" i="241"/>
  <c r="DI28" i="241"/>
  <c r="CW28" i="241" s="1"/>
  <c r="BP28" i="241"/>
  <c r="BQ28" i="241" s="1"/>
  <c r="DF28" i="241"/>
  <c r="BX28" i="241"/>
  <c r="DN28" i="241"/>
  <c r="DB28" i="241" s="1"/>
  <c r="DL28" i="241"/>
  <c r="CZ28" i="241" s="1"/>
  <c r="DO28" i="241"/>
  <c r="DC28" i="241" s="1"/>
  <c r="CG28" i="241"/>
  <c r="CH27" i="241"/>
  <c r="CI27" i="241"/>
  <c r="CT27" i="241" s="1"/>
  <c r="CP27" i="241"/>
  <c r="CY27" i="241"/>
  <c r="CJ27" i="241"/>
  <c r="FA17" i="241"/>
  <c r="EY17" i="241"/>
  <c r="FB17" i="241"/>
  <c r="FC17" i="241" s="1"/>
  <c r="GD17" i="241" s="1"/>
  <c r="GE16" i="241"/>
  <c r="GH16" i="241" s="1"/>
  <c r="FP18" i="241"/>
  <c r="EB18" i="241"/>
  <c r="EX18" i="241" s="1"/>
  <c r="FI18" i="241"/>
  <c r="GC18" i="241" s="1"/>
  <c r="CQ27" i="241"/>
  <c r="AP29" i="241"/>
  <c r="Z29" i="241" s="1"/>
  <c r="AG29" i="241" s="1"/>
  <c r="CA28" i="241"/>
  <c r="BK28" i="241"/>
  <c r="FX28" i="241" s="1"/>
  <c r="BF19" i="241"/>
  <c r="BH19" i="241"/>
  <c r="BI19" i="241" s="1"/>
  <c r="BN29" i="241"/>
  <c r="FZ29" i="241" s="1"/>
  <c r="DX29" i="241"/>
  <c r="ER29" i="241"/>
  <c r="D29" i="241"/>
  <c r="DV29" i="241"/>
  <c r="EU29" i="241"/>
  <c r="M28" i="241"/>
  <c r="K28" i="241"/>
  <c r="DW30" i="241"/>
  <c r="H30" i="241"/>
  <c r="A31" i="241"/>
  <c r="G30" i="241"/>
  <c r="DU30" i="241"/>
  <c r="F30" i="241"/>
  <c r="I30" i="241"/>
  <c r="C30" i="241"/>
  <c r="B30" i="241"/>
  <c r="DT30" i="241"/>
  <c r="DY30" i="241"/>
  <c r="E30" i="241"/>
  <c r="AT22" i="241"/>
  <c r="FK29" i="241"/>
  <c r="FL29" i="241"/>
  <c r="FU29" i="241"/>
  <c r="FO29" i="241"/>
  <c r="FJ29" i="241"/>
  <c r="EQ28" i="241"/>
  <c r="EO28" i="241"/>
  <c r="EG28" i="241"/>
  <c r="EM28" i="241"/>
  <c r="EE28" i="241"/>
  <c r="EP28" i="241"/>
  <c r="ED28" i="241"/>
  <c r="EN28" i="241"/>
  <c r="EC28" i="241"/>
  <c r="EH28" i="241" s="1"/>
  <c r="AS28" i="241"/>
  <c r="AR28" i="241"/>
  <c r="EF28" i="241"/>
  <c r="J28" i="241"/>
  <c r="FF28" i="241" s="1"/>
  <c r="BD28" i="241"/>
  <c r="AE22" i="241"/>
  <c r="EW23" i="241" s="1"/>
  <c r="AO23" i="241"/>
  <c r="FH27" i="241"/>
  <c r="BL27" i="241"/>
  <c r="FY27" i="241" s="1"/>
  <c r="EI27" i="241"/>
  <c r="EJ27" i="241" s="1"/>
  <c r="EK27" i="241" s="1"/>
  <c r="EL27" i="241" s="1"/>
  <c r="L29" i="241"/>
  <c r="FG29" i="241" s="1"/>
  <c r="BB29" i="241"/>
  <c r="FN29" i="241" s="1"/>
  <c r="T22" i="241"/>
  <c r="AV22" i="241" s="1"/>
  <c r="AQ22" i="241" s="1"/>
  <c r="AU22" i="241" s="1"/>
  <c r="AJ22" i="241"/>
  <c r="FQ20" i="241"/>
  <c r="BE20" i="241"/>
  <c r="AM21" i="241"/>
  <c r="N27" i="241"/>
  <c r="BO27" i="241"/>
  <c r="GA27" i="241" s="1"/>
  <c r="FT21" i="241"/>
  <c r="AY21" i="241"/>
  <c r="BJ21" i="241"/>
  <c r="AW21" i="241"/>
  <c r="AV21" i="241"/>
  <c r="AQ21" i="241" s="1"/>
  <c r="AU21" i="241" s="1"/>
  <c r="AK29" i="241"/>
  <c r="AD30" i="241"/>
  <c r="CF29" i="241" l="1"/>
  <c r="FE29" i="241"/>
  <c r="GF17" i="241"/>
  <c r="FD17" i="241"/>
  <c r="ES21" i="241"/>
  <c r="ET23" i="241" s="1"/>
  <c r="EV23" i="241" s="1"/>
  <c r="FR23" i="241" s="1"/>
  <c r="CM28" i="241"/>
  <c r="GG26" i="241"/>
  <c r="GI26" i="241" s="1"/>
  <c r="CH28" i="241"/>
  <c r="CN28" i="241"/>
  <c r="CI28" i="241"/>
  <c r="CT28" i="241" s="1"/>
  <c r="CO28" i="241"/>
  <c r="CS28" i="241"/>
  <c r="CL28" i="241"/>
  <c r="CP28" i="241"/>
  <c r="CK28" i="241"/>
  <c r="CQ28" i="241"/>
  <c r="CR28" i="241"/>
  <c r="CJ28" i="241"/>
  <c r="EY18" i="241"/>
  <c r="FA18" i="241"/>
  <c r="FB18" i="241"/>
  <c r="FC18" i="241" s="1"/>
  <c r="GD18" i="241" s="1"/>
  <c r="GE18" i="241" s="1"/>
  <c r="GH18" i="241" s="1"/>
  <c r="GE17" i="241"/>
  <c r="GH17" i="241" s="1"/>
  <c r="EA19" i="241"/>
  <c r="EZ19" i="241" s="1"/>
  <c r="DZ19" i="241"/>
  <c r="AP30" i="241"/>
  <c r="Z30" i="241" s="1"/>
  <c r="AG30" i="241" s="1"/>
  <c r="BV29" i="241"/>
  <c r="DO29" i="241"/>
  <c r="DC29" i="241" s="1"/>
  <c r="BR29" i="241"/>
  <c r="BS29" i="241" s="1"/>
  <c r="BW29" i="241"/>
  <c r="CE29" i="241"/>
  <c r="BP29" i="241"/>
  <c r="BQ29" i="241" s="1"/>
  <c r="CD29" i="241"/>
  <c r="DP29" i="241"/>
  <c r="DD29" i="241" s="1"/>
  <c r="DK29" i="241"/>
  <c r="BZ29" i="241"/>
  <c r="BY29" i="241"/>
  <c r="DG29" i="241"/>
  <c r="CU29" i="241" s="1"/>
  <c r="DF29" i="241"/>
  <c r="CG29" i="241"/>
  <c r="DH29" i="241"/>
  <c r="CV29" i="241" s="1"/>
  <c r="DN29" i="241"/>
  <c r="DB29" i="241" s="1"/>
  <c r="DE29" i="241"/>
  <c r="EI28" i="241"/>
  <c r="EJ28" i="241" s="1"/>
  <c r="EK28" i="241" s="1"/>
  <c r="EL28" i="241" s="1"/>
  <c r="DJ29" i="241"/>
  <c r="CX29" i="241" s="1"/>
  <c r="CC29" i="241"/>
  <c r="DM29" i="241"/>
  <c r="DA29" i="241" s="1"/>
  <c r="FS22" i="241"/>
  <c r="AX22" i="241"/>
  <c r="BG22" i="241"/>
  <c r="M29" i="241"/>
  <c r="K29" i="241"/>
  <c r="AK30" i="241"/>
  <c r="AD31" i="241"/>
  <c r="N28" i="241"/>
  <c r="BO28" i="241"/>
  <c r="GA28" i="241" s="1"/>
  <c r="AH22" i="241"/>
  <c r="AL22" i="241" s="1"/>
  <c r="AM22" i="241" s="1"/>
  <c r="DX30" i="241"/>
  <c r="BN30" i="241"/>
  <c r="FZ30" i="241" s="1"/>
  <c r="AY22" i="241"/>
  <c r="FT22" i="241"/>
  <c r="BJ22" i="241"/>
  <c r="AW22" i="241"/>
  <c r="FV22" i="241"/>
  <c r="BM22" i="241"/>
  <c r="GB22" i="241" s="1"/>
  <c r="BB30" i="241"/>
  <c r="FN30" i="241" s="1"/>
  <c r="L30" i="241"/>
  <c r="FG30" i="241" s="1"/>
  <c r="AI22" i="241"/>
  <c r="FS21" i="241"/>
  <c r="AX21" i="241"/>
  <c r="AZ21" i="241" s="1"/>
  <c r="BA21" i="241" s="1"/>
  <c r="FM21" i="241" s="1"/>
  <c r="BG21" i="241"/>
  <c r="BF20" i="241"/>
  <c r="BH20" i="241"/>
  <c r="BI20" i="241" s="1"/>
  <c r="FL30" i="241"/>
  <c r="FK30" i="241"/>
  <c r="FJ30" i="241"/>
  <c r="FU30" i="241"/>
  <c r="FO30" i="241"/>
  <c r="FH28" i="241"/>
  <c r="BL28" i="241"/>
  <c r="FY28" i="241" s="1"/>
  <c r="CA29" i="241"/>
  <c r="BX29" i="241"/>
  <c r="FW21" i="241"/>
  <c r="BU21" i="241"/>
  <c r="BT21" i="241"/>
  <c r="BK29" i="241"/>
  <c r="FX29" i="241" s="1"/>
  <c r="Y23" i="241"/>
  <c r="AF23" i="241" s="1"/>
  <c r="AN23" i="241"/>
  <c r="V23" i="241" s="1"/>
  <c r="EU30" i="241"/>
  <c r="DV30" i="241"/>
  <c r="D30" i="241"/>
  <c r="ER30" i="241"/>
  <c r="DY31" i="241"/>
  <c r="B31" i="241"/>
  <c r="I31" i="241"/>
  <c r="DW31" i="241"/>
  <c r="H31" i="241"/>
  <c r="A32" i="241"/>
  <c r="DU31" i="241"/>
  <c r="F31" i="241"/>
  <c r="C31" i="241"/>
  <c r="G31" i="241"/>
  <c r="DT31" i="241"/>
  <c r="E31" i="241"/>
  <c r="EC29" i="241"/>
  <c r="EH29" i="241" s="1"/>
  <c r="AS29" i="241"/>
  <c r="AR29" i="241"/>
  <c r="EQ29" i="241"/>
  <c r="EO29" i="241"/>
  <c r="EG29" i="241"/>
  <c r="J29" i="241"/>
  <c r="FF29" i="241" s="1"/>
  <c r="ED29" i="241"/>
  <c r="EN29" i="241"/>
  <c r="EM29" i="241"/>
  <c r="EF29" i="241"/>
  <c r="EE29" i="241"/>
  <c r="EP29" i="241"/>
  <c r="BD29" i="241"/>
  <c r="CB29" i="241"/>
  <c r="DI29" i="241"/>
  <c r="CW29" i="241" s="1"/>
  <c r="DL29" i="241"/>
  <c r="CZ29" i="241" s="1"/>
  <c r="DN30" i="241" l="1"/>
  <c r="DB30" i="241" s="1"/>
  <c r="FE30" i="241"/>
  <c r="ES22" i="241"/>
  <c r="ET24" i="241" s="1"/>
  <c r="EV24" i="241" s="1"/>
  <c r="FR24" i="241" s="1"/>
  <c r="GF18" i="241"/>
  <c r="FD18" i="241"/>
  <c r="GG27" i="241"/>
  <c r="GI27" i="241" s="1"/>
  <c r="CS29" i="241"/>
  <c r="CP29" i="241"/>
  <c r="EB19" i="241"/>
  <c r="EX19" i="241" s="1"/>
  <c r="FP19" i="241"/>
  <c r="FI19" i="241"/>
  <c r="GC19" i="241" s="1"/>
  <c r="EA20" i="241"/>
  <c r="EZ20" i="241" s="1"/>
  <c r="DZ20" i="241"/>
  <c r="CK29" i="241"/>
  <c r="AP31" i="241"/>
  <c r="Z31" i="241" s="1"/>
  <c r="AG31" i="241" s="1"/>
  <c r="CM29" i="241"/>
  <c r="EI29" i="241"/>
  <c r="EJ29" i="241" s="1"/>
  <c r="EK29" i="241" s="1"/>
  <c r="EL29" i="241" s="1"/>
  <c r="CR29" i="241"/>
  <c r="CO29" i="241"/>
  <c r="CI29" i="241"/>
  <c r="CT29" i="241" s="1"/>
  <c r="CN29" i="241"/>
  <c r="CJ29" i="241"/>
  <c r="CL29" i="241"/>
  <c r="CQ29" i="241"/>
  <c r="CY29" i="241"/>
  <c r="CH29" i="241"/>
  <c r="BK30" i="241"/>
  <c r="FX30" i="241" s="1"/>
  <c r="BP30" i="241"/>
  <c r="BQ30" i="241" s="1"/>
  <c r="DI30" i="241"/>
  <c r="CW30" i="241" s="1"/>
  <c r="CB30" i="241"/>
  <c r="DH30" i="241"/>
  <c r="CV30" i="241" s="1"/>
  <c r="BY30" i="241"/>
  <c r="CG30" i="241"/>
  <c r="C32" i="241"/>
  <c r="DY32" i="241"/>
  <c r="B32" i="241"/>
  <c r="I32" i="241"/>
  <c r="DW32" i="241"/>
  <c r="H32" i="241"/>
  <c r="DT32" i="241"/>
  <c r="G32" i="241"/>
  <c r="A33" i="241"/>
  <c r="F32" i="241"/>
  <c r="DU32" i="241"/>
  <c r="E32" i="241"/>
  <c r="N29" i="241"/>
  <c r="BO29" i="241"/>
  <c r="GA29" i="241" s="1"/>
  <c r="DX31" i="241"/>
  <c r="BN31" i="241"/>
  <c r="FZ31" i="241" s="1"/>
  <c r="EM30" i="241"/>
  <c r="EE30" i="241"/>
  <c r="ED30" i="241"/>
  <c r="EC30" i="241"/>
  <c r="EH30" i="241" s="1"/>
  <c r="AS30" i="241"/>
  <c r="EQ30" i="241"/>
  <c r="EN30" i="241"/>
  <c r="EF30" i="241"/>
  <c r="EO30" i="241"/>
  <c r="J30" i="241"/>
  <c r="FF30" i="241" s="1"/>
  <c r="EG30" i="241"/>
  <c r="AR30" i="241"/>
  <c r="EP30" i="241"/>
  <c r="BD30" i="241"/>
  <c r="DJ30" i="241"/>
  <c r="CX30" i="241" s="1"/>
  <c r="DP30" i="241"/>
  <c r="DD30" i="241" s="1"/>
  <c r="DE30" i="241"/>
  <c r="CA30" i="241"/>
  <c r="AK31" i="241"/>
  <c r="AD32" i="241"/>
  <c r="AT23" i="241"/>
  <c r="AC23" i="241"/>
  <c r="DL30" i="241"/>
  <c r="CZ30" i="241" s="1"/>
  <c r="AZ22" i="241"/>
  <c r="BA22" i="241" s="1"/>
  <c r="FM22" i="241" s="1"/>
  <c r="BB31" i="241"/>
  <c r="FN31" i="241" s="1"/>
  <c r="L31" i="241"/>
  <c r="FG31" i="241" s="1"/>
  <c r="EU31" i="241"/>
  <c r="DV31" i="241"/>
  <c r="D31" i="241"/>
  <c r="ER31" i="241"/>
  <c r="AE23" i="241"/>
  <c r="AO24" i="241"/>
  <c r="CD30" i="241"/>
  <c r="BX30" i="241"/>
  <c r="BW30" i="241"/>
  <c r="BR30" i="241"/>
  <c r="BS30" i="241" s="1"/>
  <c r="DO30" i="241"/>
  <c r="DC30" i="241" s="1"/>
  <c r="FL31" i="241"/>
  <c r="FK31" i="241"/>
  <c r="FU31" i="241"/>
  <c r="FJ31" i="241"/>
  <c r="FO31" i="241"/>
  <c r="CF30" i="241"/>
  <c r="CC30" i="241"/>
  <c r="CE30" i="241"/>
  <c r="BZ30" i="241"/>
  <c r="FH29" i="241"/>
  <c r="BL29" i="241"/>
  <c r="FY29" i="241" s="1"/>
  <c r="M30" i="241"/>
  <c r="K30" i="241"/>
  <c r="BV30" i="241"/>
  <c r="DM30" i="241"/>
  <c r="DA30" i="241" s="1"/>
  <c r="DG30" i="241"/>
  <c r="CU30" i="241" s="1"/>
  <c r="DQ21" i="241"/>
  <c r="DR21" i="241"/>
  <c r="FW22" i="241"/>
  <c r="BU22" i="241"/>
  <c r="BT22" i="241"/>
  <c r="DK30" i="241"/>
  <c r="DF30" i="241"/>
  <c r="GG28" i="241" l="1"/>
  <c r="GI28" i="241" s="1"/>
  <c r="DP31" i="241"/>
  <c r="DD31" i="241" s="1"/>
  <c r="FE31" i="241"/>
  <c r="EB20" i="241"/>
  <c r="EX20" i="241" s="1"/>
  <c r="FP20" i="241"/>
  <c r="FI20" i="241"/>
  <c r="GC20" i="241" s="1"/>
  <c r="EY19" i="241"/>
  <c r="FB19" i="241"/>
  <c r="FC19" i="241" s="1"/>
  <c r="GD19" i="241" s="1"/>
  <c r="GE19" i="241" s="1"/>
  <c r="GH19" i="241" s="1"/>
  <c r="FA19" i="241"/>
  <c r="AP32" i="241"/>
  <c r="Z32" i="241" s="1"/>
  <c r="AG32" i="241" s="1"/>
  <c r="EI30" i="241"/>
  <c r="EJ30" i="241" s="1"/>
  <c r="EK30" i="241" s="1"/>
  <c r="EL30" i="241" s="1"/>
  <c r="CD31" i="241"/>
  <c r="BZ31" i="241"/>
  <c r="CB31" i="241"/>
  <c r="DK31" i="241"/>
  <c r="DM31" i="241"/>
  <c r="DA31" i="241" s="1"/>
  <c r="DG31" i="241"/>
  <c r="CU31" i="241" s="1"/>
  <c r="CC31" i="241"/>
  <c r="FV23" i="241"/>
  <c r="BM23" i="241"/>
  <c r="GB23" i="241" s="1"/>
  <c r="DL31" i="241"/>
  <c r="CZ31" i="241" s="1"/>
  <c r="DO31" i="241"/>
  <c r="DC31" i="241" s="1"/>
  <c r="DI31" i="241"/>
  <c r="CW31" i="241" s="1"/>
  <c r="BN32" i="241"/>
  <c r="FZ32" i="241" s="1"/>
  <c r="DX32" i="241"/>
  <c r="AH23" i="241"/>
  <c r="AL23" i="241" s="1"/>
  <c r="AD33" i="241"/>
  <c r="AK32" i="241"/>
  <c r="CF31" i="241"/>
  <c r="BV31" i="241"/>
  <c r="BR31" i="241"/>
  <c r="BS31" i="241" s="1"/>
  <c r="FH30" i="241"/>
  <c r="BL30" i="241"/>
  <c r="FY30" i="241" s="1"/>
  <c r="FQ21" i="241"/>
  <c r="BE21" i="241"/>
  <c r="L32" i="241"/>
  <c r="FG32" i="241" s="1"/>
  <c r="BB32" i="241"/>
  <c r="FN32" i="241" s="1"/>
  <c r="BW31" i="241"/>
  <c r="BY31" i="241"/>
  <c r="DN31" i="241"/>
  <c r="DB31" i="241" s="1"/>
  <c r="DU33" i="241"/>
  <c r="F33" i="241"/>
  <c r="DT33" i="241"/>
  <c r="C33" i="241"/>
  <c r="DY33" i="241"/>
  <c r="B33" i="241"/>
  <c r="A34" i="241"/>
  <c r="G33" i="241"/>
  <c r="I33" i="241"/>
  <c r="H33" i="241"/>
  <c r="DW33" i="241"/>
  <c r="E33" i="241"/>
  <c r="FL32" i="241"/>
  <c r="FK32" i="241"/>
  <c r="FU32" i="241"/>
  <c r="FJ32" i="241"/>
  <c r="FO32" i="241"/>
  <c r="K31" i="241"/>
  <c r="M31" i="241"/>
  <c r="EO31" i="241"/>
  <c r="EG31" i="241"/>
  <c r="J31" i="241"/>
  <c r="FF31" i="241" s="1"/>
  <c r="EN31" i="241"/>
  <c r="EF31" i="241"/>
  <c r="EM31" i="241"/>
  <c r="EE31" i="241"/>
  <c r="ED31" i="241"/>
  <c r="EC31" i="241"/>
  <c r="EH31" i="241" s="1"/>
  <c r="AS31" i="241"/>
  <c r="EP31" i="241"/>
  <c r="EQ31" i="241"/>
  <c r="AR31" i="241"/>
  <c r="BD31" i="241"/>
  <c r="BP31" i="241"/>
  <c r="BQ31" i="241" s="1"/>
  <c r="DJ31" i="241"/>
  <c r="CX31" i="241" s="1"/>
  <c r="DF31" i="241"/>
  <c r="DH31" i="241"/>
  <c r="CV31" i="241" s="1"/>
  <c r="D32" i="241"/>
  <c r="EU32" i="241"/>
  <c r="ER32" i="241"/>
  <c r="DV32" i="241"/>
  <c r="CY30" i="241"/>
  <c r="CQ30" i="241"/>
  <c r="CI30" i="241"/>
  <c r="CT30" i="241" s="1"/>
  <c r="CP30" i="241"/>
  <c r="CH30" i="241"/>
  <c r="CO30" i="241"/>
  <c r="CM30" i="241"/>
  <c r="CR30" i="241"/>
  <c r="CJ30" i="241"/>
  <c r="CS30" i="241"/>
  <c r="CN30" i="241"/>
  <c r="CL30" i="241"/>
  <c r="CK30" i="241"/>
  <c r="DS21" i="241"/>
  <c r="BX31" i="241"/>
  <c r="CG31" i="241"/>
  <c r="BK31" i="241"/>
  <c r="FX31" i="241" s="1"/>
  <c r="DR22" i="241"/>
  <c r="DQ22" i="241"/>
  <c r="AN24" i="241"/>
  <c r="V24" i="241" s="1"/>
  <c r="AC24" i="241" s="1"/>
  <c r="Y24" i="241"/>
  <c r="AF24" i="241" s="1"/>
  <c r="AJ23" i="241"/>
  <c r="AI23" i="241"/>
  <c r="T23" i="241"/>
  <c r="EW24" i="241"/>
  <c r="N30" i="241"/>
  <c r="BO30" i="241"/>
  <c r="GA30" i="241" s="1"/>
  <c r="CE31" i="241"/>
  <c r="DE31" i="241"/>
  <c r="CA31" i="241"/>
  <c r="GG29" i="241" l="1"/>
  <c r="GI29" i="241" s="1"/>
  <c r="BV32" i="241"/>
  <c r="FE32" i="241"/>
  <c r="GF19" i="241"/>
  <c r="FD19" i="241"/>
  <c r="BK32" i="241"/>
  <c r="FX32" i="241" s="1"/>
  <c r="FA20" i="241"/>
  <c r="EY20" i="241"/>
  <c r="FB20" i="241"/>
  <c r="FC20" i="241" s="1"/>
  <c r="GD20" i="241" s="1"/>
  <c r="GE20" i="241" s="1"/>
  <c r="GH20" i="241" s="1"/>
  <c r="EI31" i="241"/>
  <c r="EJ31" i="241" s="1"/>
  <c r="EK31" i="241" s="1"/>
  <c r="EL31" i="241" s="1"/>
  <c r="AP33" i="241"/>
  <c r="Z33" i="241" s="1"/>
  <c r="AG33" i="241" s="1"/>
  <c r="DF32" i="241"/>
  <c r="DI32" i="241"/>
  <c r="CW32" i="241" s="1"/>
  <c r="BP32" i="241"/>
  <c r="BQ32" i="241" s="1"/>
  <c r="DL32" i="241"/>
  <c r="CZ32" i="241" s="1"/>
  <c r="DJ32" i="241"/>
  <c r="CX32" i="241" s="1"/>
  <c r="DN32" i="241"/>
  <c r="DB32" i="241" s="1"/>
  <c r="BW32" i="241"/>
  <c r="CG32" i="241"/>
  <c r="CA32" i="241"/>
  <c r="DK32" i="241"/>
  <c r="BR32" i="241"/>
  <c r="BS32" i="241" s="1"/>
  <c r="DO32" i="241"/>
  <c r="DC32" i="241" s="1"/>
  <c r="BY32" i="241"/>
  <c r="DP32" i="241"/>
  <c r="DD32" i="241" s="1"/>
  <c r="DE32" i="241"/>
  <c r="T24" i="241"/>
  <c r="AV24" i="241" s="1"/>
  <c r="AQ24" i="241" s="1"/>
  <c r="AU24" i="241" s="1"/>
  <c r="AJ24" i="241"/>
  <c r="FQ22" i="241"/>
  <c r="BE22" i="241"/>
  <c r="L33" i="241"/>
  <c r="FG33" i="241" s="1"/>
  <c r="BB33" i="241"/>
  <c r="FN33" i="241" s="1"/>
  <c r="AY23" i="241"/>
  <c r="FT23" i="241"/>
  <c r="BJ23" i="241"/>
  <c r="AW23" i="241"/>
  <c r="AV23" i="241"/>
  <c r="AQ23" i="241" s="1"/>
  <c r="AU23" i="241" s="1"/>
  <c r="K32" i="241"/>
  <c r="M32" i="241"/>
  <c r="N31" i="241"/>
  <c r="BO31" i="241"/>
  <c r="GA31" i="241" s="1"/>
  <c r="BZ32" i="241"/>
  <c r="DG32" i="241"/>
  <c r="CU32" i="241" s="1"/>
  <c r="CC32" i="241"/>
  <c r="CE32" i="241"/>
  <c r="ER33" i="241"/>
  <c r="D33" i="241"/>
  <c r="DV33" i="241"/>
  <c r="EU33" i="241"/>
  <c r="AK33" i="241"/>
  <c r="AD34" i="241"/>
  <c r="AM23" i="241"/>
  <c r="FH31" i="241"/>
  <c r="BL31" i="241"/>
  <c r="FY31" i="241" s="1"/>
  <c r="FK33" i="241"/>
  <c r="FL33" i="241"/>
  <c r="FO33" i="241"/>
  <c r="FJ33" i="241"/>
  <c r="FU33" i="241"/>
  <c r="DM32" i="241"/>
  <c r="DA32" i="241" s="1"/>
  <c r="BX32" i="241"/>
  <c r="CB32" i="241"/>
  <c r="CS31" i="241"/>
  <c r="CK31" i="241"/>
  <c r="CR31" i="241"/>
  <c r="CJ31" i="241"/>
  <c r="CY31" i="241"/>
  <c r="CQ31" i="241"/>
  <c r="CI31" i="241"/>
  <c r="CT31" i="241" s="1"/>
  <c r="CP31" i="241"/>
  <c r="CH31" i="241"/>
  <c r="CO31" i="241"/>
  <c r="CL31" i="241"/>
  <c r="CN31" i="241"/>
  <c r="CM31" i="241"/>
  <c r="BF21" i="241"/>
  <c r="BH21" i="241"/>
  <c r="BI21" i="241" s="1"/>
  <c r="AE24" i="241"/>
  <c r="AO25" i="241"/>
  <c r="EQ32" i="241"/>
  <c r="EP32" i="241"/>
  <c r="EO32" i="241"/>
  <c r="EG32" i="241"/>
  <c r="J32" i="241"/>
  <c r="FF32" i="241" s="1"/>
  <c r="EN32" i="241"/>
  <c r="EF32" i="241"/>
  <c r="EM32" i="241"/>
  <c r="EE32" i="241"/>
  <c r="AR32" i="241"/>
  <c r="AS32" i="241"/>
  <c r="ED32" i="241"/>
  <c r="EC32" i="241"/>
  <c r="EH32" i="241" s="1"/>
  <c r="BD32" i="241"/>
  <c r="BN33" i="241"/>
  <c r="FZ33" i="241" s="1"/>
  <c r="DX33" i="241"/>
  <c r="CF32" i="241"/>
  <c r="DH32" i="241"/>
  <c r="CV32" i="241" s="1"/>
  <c r="CD32" i="241"/>
  <c r="DS22" i="241"/>
  <c r="C34" i="241"/>
  <c r="DY34" i="241"/>
  <c r="B34" i="241"/>
  <c r="DW34" i="241"/>
  <c r="H34" i="241"/>
  <c r="DT34" i="241"/>
  <c r="I34" i="241"/>
  <c r="DU34" i="241"/>
  <c r="A35" i="241"/>
  <c r="G34" i="241"/>
  <c r="F34" i="241"/>
  <c r="E34" i="241"/>
  <c r="AT24" i="241"/>
  <c r="GG30" i="241" l="1"/>
  <c r="GI30" i="241" s="1"/>
  <c r="CH32" i="241"/>
  <c r="CF33" i="241"/>
  <c r="FE33" i="241"/>
  <c r="ES23" i="241"/>
  <c r="ET25" i="241" s="1"/>
  <c r="EV25" i="241" s="1"/>
  <c r="FR25" i="241" s="1"/>
  <c r="GF20" i="241"/>
  <c r="FD20" i="241"/>
  <c r="BK33" i="241"/>
  <c r="FX33" i="241" s="1"/>
  <c r="DZ21" i="241"/>
  <c r="EA21" i="241"/>
  <c r="EZ21" i="241" s="1"/>
  <c r="AP34" i="241"/>
  <c r="Z34" i="241" s="1"/>
  <c r="AG34" i="241" s="1"/>
  <c r="EI32" i="241"/>
  <c r="EJ32" i="241" s="1"/>
  <c r="EK32" i="241" s="1"/>
  <c r="EL32" i="241" s="1"/>
  <c r="BY33" i="241"/>
  <c r="CG33" i="241"/>
  <c r="DN33" i="241"/>
  <c r="DB33" i="241" s="1"/>
  <c r="CC33" i="241"/>
  <c r="DE33" i="241"/>
  <c r="CP32" i="241"/>
  <c r="CO32" i="241"/>
  <c r="CS32" i="241"/>
  <c r="CQ32" i="241"/>
  <c r="CI32" i="241"/>
  <c r="CT32" i="241" s="1"/>
  <c r="CR32" i="241"/>
  <c r="CN32" i="241"/>
  <c r="CY32" i="241"/>
  <c r="CJ32" i="241"/>
  <c r="CM32" i="241"/>
  <c r="CK32" i="241"/>
  <c r="CL32" i="241"/>
  <c r="CB33" i="241"/>
  <c r="DJ33" i="241"/>
  <c r="CX33" i="241" s="1"/>
  <c r="BW33" i="241"/>
  <c r="CE33" i="241"/>
  <c r="CA33" i="241"/>
  <c r="BP33" i="241"/>
  <c r="BQ33" i="241" s="1"/>
  <c r="DF33" i="241"/>
  <c r="DL33" i="241"/>
  <c r="CZ33" i="241" s="1"/>
  <c r="L34" i="241"/>
  <c r="FG34" i="241" s="1"/>
  <c r="BB34" i="241"/>
  <c r="FN34" i="241" s="1"/>
  <c r="BN34" i="241"/>
  <c r="FZ34" i="241" s="1"/>
  <c r="DX34" i="241"/>
  <c r="N32" i="241"/>
  <c r="BO32" i="241"/>
  <c r="GA32" i="241" s="1"/>
  <c r="AH24" i="241"/>
  <c r="AL24" i="241" s="1"/>
  <c r="AM24" i="241" s="1"/>
  <c r="M33" i="241"/>
  <c r="K33" i="241"/>
  <c r="DO33" i="241"/>
  <c r="DC33" i="241" s="1"/>
  <c r="DG33" i="241"/>
  <c r="CU33" i="241" s="1"/>
  <c r="DI33" i="241"/>
  <c r="CW33" i="241" s="1"/>
  <c r="DK33" i="241"/>
  <c r="DM33" i="241"/>
  <c r="DA33" i="241" s="1"/>
  <c r="FW23" i="241"/>
  <c r="BU23" i="241"/>
  <c r="BT23" i="241"/>
  <c r="EW25" i="241"/>
  <c r="FV24" i="241"/>
  <c r="BM24" i="241"/>
  <c r="GB24" i="241" s="1"/>
  <c r="DU35" i="241"/>
  <c r="F35" i="241"/>
  <c r="DT35" i="241"/>
  <c r="C35" i="241"/>
  <c r="DY35" i="241"/>
  <c r="B35" i="241"/>
  <c r="A36" i="241"/>
  <c r="G35" i="241"/>
  <c r="I35" i="241"/>
  <c r="H35" i="241"/>
  <c r="DW35" i="241"/>
  <c r="E35" i="241"/>
  <c r="AD35" i="241"/>
  <c r="AK34" i="241"/>
  <c r="AI24" i="241"/>
  <c r="FS23" i="241"/>
  <c r="AX23" i="241"/>
  <c r="AZ23" i="241" s="1"/>
  <c r="BA23" i="241" s="1"/>
  <c r="FM23" i="241" s="1"/>
  <c r="BG23" i="241"/>
  <c r="FL34" i="241"/>
  <c r="FK34" i="241"/>
  <c r="FU34" i="241"/>
  <c r="FJ34" i="241"/>
  <c r="FO34" i="241"/>
  <c r="DH33" i="241"/>
  <c r="CV33" i="241" s="1"/>
  <c r="BR33" i="241"/>
  <c r="BS33" i="241" s="1"/>
  <c r="BV33" i="241"/>
  <c r="BX33" i="241"/>
  <c r="D34" i="241"/>
  <c r="EU34" i="241"/>
  <c r="ER34" i="241"/>
  <c r="DV34" i="241"/>
  <c r="DP33" i="241"/>
  <c r="DD33" i="241" s="1"/>
  <c r="BZ33" i="241"/>
  <c r="CD33" i="241"/>
  <c r="BF22" i="241"/>
  <c r="BH22" i="241"/>
  <c r="BI22" i="241" s="1"/>
  <c r="FT24" i="241"/>
  <c r="AY24" i="241"/>
  <c r="BJ24" i="241"/>
  <c r="AW24" i="241"/>
  <c r="FS24" i="241"/>
  <c r="BG24" i="241"/>
  <c r="AX24" i="241"/>
  <c r="AN25" i="241"/>
  <c r="V25" i="241" s="1"/>
  <c r="Y25" i="241"/>
  <c r="AF25" i="241" s="1"/>
  <c r="EC33" i="241"/>
  <c r="EH33" i="241" s="1"/>
  <c r="AS33" i="241"/>
  <c r="AR33" i="241"/>
  <c r="EQ33" i="241"/>
  <c r="EP33" i="241"/>
  <c r="EO33" i="241"/>
  <c r="EG33" i="241"/>
  <c r="J33" i="241"/>
  <c r="FF33" i="241" s="1"/>
  <c r="ED33" i="241"/>
  <c r="EM33" i="241"/>
  <c r="EF33" i="241"/>
  <c r="EE33" i="241"/>
  <c r="EN33" i="241"/>
  <c r="BD33" i="241"/>
  <c r="FH32" i="241"/>
  <c r="BL32" i="241"/>
  <c r="FY32" i="241" s="1"/>
  <c r="GG31" i="241" l="1"/>
  <c r="GI31" i="241" s="1"/>
  <c r="DK34" i="241"/>
  <c r="CY34" i="241" s="1"/>
  <c r="FE34" i="241"/>
  <c r="ES24" i="241"/>
  <c r="ET26" i="241" s="1"/>
  <c r="EV26" i="241" s="1"/>
  <c r="FR26" i="241" s="1"/>
  <c r="DZ22" i="241"/>
  <c r="EA22" i="241"/>
  <c r="EZ22" i="241" s="1"/>
  <c r="FP21" i="241"/>
  <c r="EB21" i="241"/>
  <c r="EX21" i="241" s="1"/>
  <c r="FI21" i="241"/>
  <c r="GC21" i="241" s="1"/>
  <c r="AP35" i="241"/>
  <c r="Z35" i="241" s="1"/>
  <c r="AG35" i="241" s="1"/>
  <c r="BK34" i="241"/>
  <c r="FX34" i="241" s="1"/>
  <c r="DG34" i="241"/>
  <c r="CU34" i="241" s="1"/>
  <c r="BY34" i="241"/>
  <c r="CB34" i="241"/>
  <c r="DF34" i="241"/>
  <c r="CG34" i="241"/>
  <c r="CC34" i="241"/>
  <c r="DM34" i="241"/>
  <c r="DA34" i="241" s="1"/>
  <c r="BX34" i="241"/>
  <c r="BV34" i="241"/>
  <c r="BW34" i="241"/>
  <c r="CA34" i="241"/>
  <c r="CE34" i="241"/>
  <c r="AZ24" i="241"/>
  <c r="BA24" i="241" s="1"/>
  <c r="FM24" i="241" s="1"/>
  <c r="L35" i="241"/>
  <c r="FG35" i="241" s="1"/>
  <c r="BB35" i="241"/>
  <c r="FN35" i="241" s="1"/>
  <c r="DN34" i="241"/>
  <c r="DB34" i="241" s="1"/>
  <c r="DO34" i="241"/>
  <c r="DC34" i="241" s="1"/>
  <c r="DI34" i="241"/>
  <c r="CW34" i="241" s="1"/>
  <c r="FH33" i="241"/>
  <c r="BL33" i="241"/>
  <c r="FY33" i="241" s="1"/>
  <c r="EQ34" i="241"/>
  <c r="EP34" i="241"/>
  <c r="EO34" i="241"/>
  <c r="EG34" i="241"/>
  <c r="J34" i="241"/>
  <c r="FF34" i="241" s="1"/>
  <c r="EN34" i="241"/>
  <c r="EF34" i="241"/>
  <c r="EM34" i="241"/>
  <c r="EE34" i="241"/>
  <c r="AR34" i="241"/>
  <c r="AS34" i="241"/>
  <c r="ED34" i="241"/>
  <c r="EC34" i="241"/>
  <c r="EH34" i="241" s="1"/>
  <c r="BD34" i="241"/>
  <c r="BR34" i="241"/>
  <c r="BS34" i="241" s="1"/>
  <c r="BP34" i="241"/>
  <c r="BQ34" i="241" s="1"/>
  <c r="AT25" i="241"/>
  <c r="AC25" i="241"/>
  <c r="CO33" i="241"/>
  <c r="CN33" i="241"/>
  <c r="CM33" i="241"/>
  <c r="CL33" i="241"/>
  <c r="CS33" i="241"/>
  <c r="CK33" i="241"/>
  <c r="CP33" i="241"/>
  <c r="CH33" i="241"/>
  <c r="CY33" i="241"/>
  <c r="CR33" i="241"/>
  <c r="CQ33" i="241"/>
  <c r="CJ33" i="241"/>
  <c r="CI33" i="241"/>
  <c r="CT33" i="241" s="1"/>
  <c r="AK35" i="241"/>
  <c r="AD36" i="241"/>
  <c r="DY36" i="241"/>
  <c r="H36" i="241"/>
  <c r="DW36" i="241"/>
  <c r="G36" i="241"/>
  <c r="F36" i="241"/>
  <c r="DU36" i="241"/>
  <c r="DT36" i="241"/>
  <c r="I36" i="241"/>
  <c r="A37" i="241"/>
  <c r="C36" i="241"/>
  <c r="B36" i="241"/>
  <c r="E36" i="241"/>
  <c r="DE34" i="241"/>
  <c r="CF34" i="241"/>
  <c r="DH34" i="241"/>
  <c r="CV34" i="241" s="1"/>
  <c r="CD34" i="241"/>
  <c r="EI33" i="241"/>
  <c r="EJ33" i="241" s="1"/>
  <c r="EK33" i="241" s="1"/>
  <c r="EL33" i="241" s="1"/>
  <c r="ER35" i="241"/>
  <c r="D35" i="241"/>
  <c r="DV35" i="241"/>
  <c r="EU35" i="241"/>
  <c r="BZ34" i="241"/>
  <c r="DL34" i="241"/>
  <c r="CZ34" i="241" s="1"/>
  <c r="DP34" i="241"/>
  <c r="DD34" i="241" s="1"/>
  <c r="DJ34" i="241"/>
  <c r="CX34" i="241" s="1"/>
  <c r="N33" i="241"/>
  <c r="BO33" i="241"/>
  <c r="GA33" i="241" s="1"/>
  <c r="AE25" i="241"/>
  <c r="AO26" i="241"/>
  <c r="FW24" i="241"/>
  <c r="BT24" i="241"/>
  <c r="BU24" i="241"/>
  <c r="K34" i="241"/>
  <c r="M34" i="241"/>
  <c r="BN35" i="241"/>
  <c r="FZ35" i="241" s="1"/>
  <c r="DX35" i="241"/>
  <c r="FK35" i="241"/>
  <c r="FL35" i="241"/>
  <c r="FU35" i="241"/>
  <c r="FJ35" i="241"/>
  <c r="FO35" i="241"/>
  <c r="DR23" i="241"/>
  <c r="DQ23" i="241"/>
  <c r="GG32" i="241" l="1"/>
  <c r="GI32" i="241" s="1"/>
  <c r="CJ34" i="241"/>
  <c r="CL34" i="241"/>
  <c r="CQ34" i="241"/>
  <c r="CP34" i="241"/>
  <c r="CR34" i="241"/>
  <c r="CO34" i="241"/>
  <c r="CS34" i="241"/>
  <c r="CM34" i="241"/>
  <c r="CN34" i="241"/>
  <c r="CI34" i="241"/>
  <c r="CT34" i="241" s="1"/>
  <c r="CK34" i="241"/>
  <c r="CH34" i="241"/>
  <c r="BY35" i="241"/>
  <c r="FE35" i="241"/>
  <c r="BK35" i="241"/>
  <c r="FX35" i="241" s="1"/>
  <c r="DM35" i="241"/>
  <c r="DA35" i="241" s="1"/>
  <c r="CA35" i="241"/>
  <c r="EI34" i="241"/>
  <c r="EJ34" i="241" s="1"/>
  <c r="EK34" i="241" s="1"/>
  <c r="EL34" i="241" s="1"/>
  <c r="FB21" i="241"/>
  <c r="FC21" i="241" s="1"/>
  <c r="GD21" i="241" s="1"/>
  <c r="GE21" i="241" s="1"/>
  <c r="GH21" i="241" s="1"/>
  <c r="FA21" i="241"/>
  <c r="EY21" i="241"/>
  <c r="FP22" i="241"/>
  <c r="EB22" i="241"/>
  <c r="EX22" i="241" s="1"/>
  <c r="FI22" i="241"/>
  <c r="GC22" i="241" s="1"/>
  <c r="AP36" i="241"/>
  <c r="Z36" i="241" s="1"/>
  <c r="AG36" i="241" s="1"/>
  <c r="CG35" i="241"/>
  <c r="DE35" i="241"/>
  <c r="BR35" i="241"/>
  <c r="BS35" i="241" s="1"/>
  <c r="BV35" i="241"/>
  <c r="DH35" i="241"/>
  <c r="CV35" i="241" s="1"/>
  <c r="CD35" i="241"/>
  <c r="DN35" i="241"/>
  <c r="DB35" i="241" s="1"/>
  <c r="CE35" i="241"/>
  <c r="DG35" i="241"/>
  <c r="CU35" i="241" s="1"/>
  <c r="BX35" i="241"/>
  <c r="DO35" i="241"/>
  <c r="DC35" i="241" s="1"/>
  <c r="BW35" i="241"/>
  <c r="DF35" i="241"/>
  <c r="DK35" i="241"/>
  <c r="DP35" i="241"/>
  <c r="DD35" i="241" s="1"/>
  <c r="CC35" i="241"/>
  <c r="DL35" i="241"/>
  <c r="CZ35" i="241" s="1"/>
  <c r="CB35" i="241"/>
  <c r="DI35" i="241"/>
  <c r="CW35" i="241" s="1"/>
  <c r="BP35" i="241"/>
  <c r="BQ35" i="241" s="1"/>
  <c r="CF35" i="241"/>
  <c r="BZ35" i="241"/>
  <c r="DJ35" i="241"/>
  <c r="CX35" i="241" s="1"/>
  <c r="DQ24" i="241"/>
  <c r="DS24" i="241" s="1"/>
  <c r="DR24" i="241"/>
  <c r="DX36" i="241"/>
  <c r="BN36" i="241"/>
  <c r="FZ36" i="241" s="1"/>
  <c r="FQ23" i="241"/>
  <c r="BE23" i="241"/>
  <c r="FK36" i="241"/>
  <c r="FL36" i="241"/>
  <c r="FJ36" i="241"/>
  <c r="FO36" i="241"/>
  <c r="FU36" i="241"/>
  <c r="Y26" i="241"/>
  <c r="AF26" i="241" s="1"/>
  <c r="AN26" i="241"/>
  <c r="V26" i="241" s="1"/>
  <c r="AC26" i="241" s="1"/>
  <c r="AH25" i="241"/>
  <c r="AL25" i="241" s="1"/>
  <c r="AD37" i="241"/>
  <c r="AK36" i="241"/>
  <c r="T25" i="241"/>
  <c r="AI25" i="241"/>
  <c r="AJ25" i="241"/>
  <c r="EW26" i="241"/>
  <c r="FH34" i="241"/>
  <c r="BL34" i="241"/>
  <c r="FY34" i="241" s="1"/>
  <c r="EC35" i="241"/>
  <c r="EH35" i="241" s="1"/>
  <c r="AS35" i="241"/>
  <c r="AR35" i="241"/>
  <c r="EQ35" i="241"/>
  <c r="EP35" i="241"/>
  <c r="EO35" i="241"/>
  <c r="EG35" i="241"/>
  <c r="J35" i="241"/>
  <c r="FF35" i="241" s="1"/>
  <c r="ED35" i="241"/>
  <c r="EN35" i="241"/>
  <c r="EM35" i="241"/>
  <c r="EF35" i="241"/>
  <c r="EE35" i="241"/>
  <c r="BD35" i="241"/>
  <c r="N34" i="241"/>
  <c r="BO34" i="241"/>
  <c r="GA34" i="241" s="1"/>
  <c r="FV25" i="241"/>
  <c r="BM25" i="241"/>
  <c r="GB25" i="241" s="1"/>
  <c r="DS23" i="241"/>
  <c r="DW37" i="241"/>
  <c r="A38" i="241"/>
  <c r="G37" i="241"/>
  <c r="DU37" i="241"/>
  <c r="F37" i="241"/>
  <c r="C37" i="241"/>
  <c r="DT37" i="241"/>
  <c r="I37" i="241"/>
  <c r="B37" i="241"/>
  <c r="DY37" i="241"/>
  <c r="H37" i="241"/>
  <c r="E37" i="241"/>
  <c r="M35" i="241"/>
  <c r="K35" i="241"/>
  <c r="ER36" i="241"/>
  <c r="DV36" i="241"/>
  <c r="D36" i="241"/>
  <c r="EU36" i="241"/>
  <c r="BB36" i="241"/>
  <c r="FN36" i="241" s="1"/>
  <c r="L36" i="241"/>
  <c r="FG36" i="241" s="1"/>
  <c r="GG33" i="241" l="1"/>
  <c r="GI33" i="241" s="1"/>
  <c r="CA36" i="241"/>
  <c r="FE36" i="241"/>
  <c r="GF21" i="241"/>
  <c r="FD21" i="241"/>
  <c r="CS35" i="241"/>
  <c r="EY22" i="241"/>
  <c r="FA22" i="241"/>
  <c r="FB22" i="241"/>
  <c r="FC22" i="241" s="1"/>
  <c r="GD22" i="241" s="1"/>
  <c r="GE22" i="241" s="1"/>
  <c r="GH22" i="241" s="1"/>
  <c r="AP37" i="241"/>
  <c r="Z37" i="241" s="1"/>
  <c r="AG37" i="241" s="1"/>
  <c r="CP35" i="241"/>
  <c r="CQ35" i="241"/>
  <c r="CK35" i="241"/>
  <c r="CL35" i="241"/>
  <c r="CR35" i="241"/>
  <c r="CJ35" i="241"/>
  <c r="CM35" i="241"/>
  <c r="CY35" i="241"/>
  <c r="CN35" i="241"/>
  <c r="CO35" i="241"/>
  <c r="CH35" i="241"/>
  <c r="CI35" i="241"/>
  <c r="CT35" i="241" s="1"/>
  <c r="EI35" i="241"/>
  <c r="EJ35" i="241" s="1"/>
  <c r="EK35" i="241" s="1"/>
  <c r="EL35" i="241" s="1"/>
  <c r="DG36" i="241"/>
  <c r="CU36" i="241" s="1"/>
  <c r="M36" i="241"/>
  <c r="K36" i="241"/>
  <c r="DY38" i="241"/>
  <c r="B38" i="241"/>
  <c r="DW38" i="241"/>
  <c r="G38" i="241"/>
  <c r="DU38" i="241"/>
  <c r="F38" i="241"/>
  <c r="DT38" i="241"/>
  <c r="C38" i="241"/>
  <c r="H38" i="241"/>
  <c r="I38" i="241"/>
  <c r="E38" i="241"/>
  <c r="T26" i="241"/>
  <c r="AJ26" i="241"/>
  <c r="BF23" i="241"/>
  <c r="BH23" i="241"/>
  <c r="BI23" i="241" s="1"/>
  <c r="CE36" i="241"/>
  <c r="DE36" i="241"/>
  <c r="EC36" i="241"/>
  <c r="EH36" i="241" s="1"/>
  <c r="EQ36" i="241"/>
  <c r="EO36" i="241"/>
  <c r="EG36" i="241"/>
  <c r="EN36" i="241"/>
  <c r="EM36" i="241"/>
  <c r="AS36" i="241"/>
  <c r="EF36" i="241"/>
  <c r="AR36" i="241"/>
  <c r="EE36" i="241"/>
  <c r="EP36" i="241"/>
  <c r="ED36" i="241"/>
  <c r="J36" i="241"/>
  <c r="FF36" i="241" s="1"/>
  <c r="BD36" i="241"/>
  <c r="DK36" i="241"/>
  <c r="N35" i="241"/>
  <c r="BO35" i="241"/>
  <c r="GA35" i="241" s="1"/>
  <c r="AK37" i="241"/>
  <c r="AD38" i="241"/>
  <c r="CD36" i="241"/>
  <c r="CB36" i="241"/>
  <c r="BX36" i="241"/>
  <c r="BR36" i="241"/>
  <c r="BS36" i="241" s="1"/>
  <c r="BN37" i="241"/>
  <c r="FZ37" i="241" s="1"/>
  <c r="DX37" i="241"/>
  <c r="FT25" i="241"/>
  <c r="AY25" i="241"/>
  <c r="BJ25" i="241"/>
  <c r="AW25" i="241"/>
  <c r="AV25" i="241"/>
  <c r="AQ25" i="241" s="1"/>
  <c r="AU25" i="241" s="1"/>
  <c r="DM36" i="241"/>
  <c r="DA36" i="241" s="1"/>
  <c r="DO36" i="241"/>
  <c r="DC36" i="241" s="1"/>
  <c r="FH35" i="241"/>
  <c r="BL35" i="241"/>
  <c r="FY35" i="241" s="1"/>
  <c r="BB37" i="241"/>
  <c r="FN37" i="241" s="1"/>
  <c r="L37" i="241"/>
  <c r="FG37" i="241" s="1"/>
  <c r="DJ36" i="241"/>
  <c r="CX36" i="241" s="1"/>
  <c r="DH36" i="241"/>
  <c r="CV36" i="241" s="1"/>
  <c r="CF36" i="241"/>
  <c r="BZ36" i="241"/>
  <c r="BP36" i="241"/>
  <c r="BQ36" i="241" s="1"/>
  <c r="AT26" i="241"/>
  <c r="CC36" i="241"/>
  <c r="DP36" i="241"/>
  <c r="DD36" i="241" s="1"/>
  <c r="DL36" i="241"/>
  <c r="CZ36" i="241" s="1"/>
  <c r="DF36" i="241"/>
  <c r="FQ24" i="241"/>
  <c r="BE24" i="241"/>
  <c r="BV36" i="241"/>
  <c r="FL37" i="241"/>
  <c r="FK37" i="241"/>
  <c r="FJ37" i="241"/>
  <c r="FU37" i="241"/>
  <c r="FO37" i="241"/>
  <c r="AM25" i="241"/>
  <c r="AE26" i="241"/>
  <c r="AI26" i="241" s="1"/>
  <c r="AO27" i="241"/>
  <c r="DI36" i="241"/>
  <c r="CW36" i="241" s="1"/>
  <c r="BY36" i="241"/>
  <c r="DN36" i="241"/>
  <c r="DB36" i="241" s="1"/>
  <c r="EU37" i="241"/>
  <c r="DV37" i="241"/>
  <c r="D37" i="241"/>
  <c r="ER37" i="241"/>
  <c r="BW36" i="241"/>
  <c r="CG36" i="241"/>
  <c r="BK36" i="241"/>
  <c r="FX36" i="241" s="1"/>
  <c r="GG34" i="241" l="1"/>
  <c r="GI34" i="241" s="1"/>
  <c r="BZ37" i="241"/>
  <c r="FE37" i="241"/>
  <c r="ES25" i="241"/>
  <c r="ET27" i="241" s="1"/>
  <c r="EV27" i="241" s="1"/>
  <c r="FR27" i="241" s="1"/>
  <c r="GF22" i="241"/>
  <c r="FD22" i="241"/>
  <c r="AP38" i="241"/>
  <c r="Z38" i="241" s="1"/>
  <c r="AG38" i="241" s="1"/>
  <c r="EA23" i="241"/>
  <c r="EZ23" i="241" s="1"/>
  <c r="DZ23" i="241"/>
  <c r="EI36" i="241"/>
  <c r="EJ36" i="241" s="1"/>
  <c r="EK36" i="241" s="1"/>
  <c r="EL36" i="241" s="1"/>
  <c r="BW37" i="241"/>
  <c r="DP37" i="241"/>
  <c r="DD37" i="241" s="1"/>
  <c r="CB37" i="241"/>
  <c r="CE37" i="241"/>
  <c r="BR37" i="241"/>
  <c r="BS37" i="241" s="1"/>
  <c r="BP37" i="241"/>
  <c r="BQ37" i="241" s="1"/>
  <c r="EM37" i="241"/>
  <c r="EE37" i="241"/>
  <c r="ED37" i="241"/>
  <c r="EC37" i="241"/>
  <c r="EH37" i="241" s="1"/>
  <c r="AS37" i="241"/>
  <c r="EQ37" i="241"/>
  <c r="EP37" i="241"/>
  <c r="EO37" i="241"/>
  <c r="EN37" i="241"/>
  <c r="J37" i="241"/>
  <c r="FF37" i="241" s="1"/>
  <c r="EG37" i="241"/>
  <c r="EF37" i="241"/>
  <c r="AR37" i="241"/>
  <c r="BD37" i="241"/>
  <c r="AH26" i="241"/>
  <c r="AL26" i="241" s="1"/>
  <c r="AM26" i="241" s="1"/>
  <c r="BF24" i="241"/>
  <c r="BH24" i="241"/>
  <c r="BI24" i="241" s="1"/>
  <c r="FV26" i="241"/>
  <c r="BM26" i="241"/>
  <c r="GB26" i="241" s="1"/>
  <c r="DH37" i="241"/>
  <c r="CV37" i="241" s="1"/>
  <c r="BX37" i="241"/>
  <c r="DO37" i="241"/>
  <c r="DC37" i="241" s="1"/>
  <c r="DX38" i="241"/>
  <c r="BN38" i="241"/>
  <c r="FZ38" i="241" s="1"/>
  <c r="FS25" i="241"/>
  <c r="AX25" i="241"/>
  <c r="AZ25" i="241" s="1"/>
  <c r="BA25" i="241" s="1"/>
  <c r="FM25" i="241" s="1"/>
  <c r="BG25" i="241"/>
  <c r="CC37" i="241"/>
  <c r="DK37" i="241"/>
  <c r="DF37" i="241"/>
  <c r="BB38" i="241"/>
  <c r="FN38" i="241" s="1"/>
  <c r="L38" i="241"/>
  <c r="FG38" i="241" s="1"/>
  <c r="EU38" i="241"/>
  <c r="DV38" i="241"/>
  <c r="ER38" i="241"/>
  <c r="D38" i="241"/>
  <c r="FW25" i="241"/>
  <c r="BU25" i="241"/>
  <c r="BT25" i="241"/>
  <c r="CF37" i="241"/>
  <c r="BY37" i="241"/>
  <c r="DN37" i="241"/>
  <c r="DB37" i="241" s="1"/>
  <c r="CY36" i="241"/>
  <c r="CQ36" i="241"/>
  <c r="CI36" i="241"/>
  <c r="CT36" i="241" s="1"/>
  <c r="CP36" i="241"/>
  <c r="CH36" i="241"/>
  <c r="CO36" i="241"/>
  <c r="CN36" i="241"/>
  <c r="CM36" i="241"/>
  <c r="CR36" i="241"/>
  <c r="CJ36" i="241"/>
  <c r="CS36" i="241"/>
  <c r="CL36" i="241"/>
  <c r="CK36" i="241"/>
  <c r="FH36" i="241"/>
  <c r="BL36" i="241"/>
  <c r="FY36" i="241" s="1"/>
  <c r="AY26" i="241"/>
  <c r="FT26" i="241"/>
  <c r="BJ26" i="241"/>
  <c r="AW26" i="241"/>
  <c r="BV37" i="241"/>
  <c r="CG37" i="241"/>
  <c r="BK37" i="241"/>
  <c r="FX37" i="241" s="1"/>
  <c r="Y27" i="241"/>
  <c r="AF27" i="241" s="1"/>
  <c r="AN27" i="241"/>
  <c r="V27" i="241" s="1"/>
  <c r="DI37" i="241"/>
  <c r="CW37" i="241" s="1"/>
  <c r="CD37" i="241"/>
  <c r="DE37" i="241"/>
  <c r="CA37" i="241"/>
  <c r="N36" i="241"/>
  <c r="BO36" i="241"/>
  <c r="GA36" i="241" s="1"/>
  <c r="FL38" i="241"/>
  <c r="FK38" i="241"/>
  <c r="FU38" i="241"/>
  <c r="FJ38" i="241"/>
  <c r="FO38" i="241"/>
  <c r="K37" i="241"/>
  <c r="M37" i="241"/>
  <c r="AV26" i="241"/>
  <c r="AQ26" i="241" s="1"/>
  <c r="AU26" i="241" s="1"/>
  <c r="DL37" i="241"/>
  <c r="CZ37" i="241" s="1"/>
  <c r="DJ37" i="241"/>
  <c r="CX37" i="241" s="1"/>
  <c r="DM37" i="241"/>
  <c r="DA37" i="241" s="1"/>
  <c r="DG37" i="241"/>
  <c r="CU37" i="241" s="1"/>
  <c r="AK38" i="241"/>
  <c r="EW27" i="241"/>
  <c r="GG35" i="241" l="1"/>
  <c r="GI35" i="241" s="1"/>
  <c r="DH38" i="241"/>
  <c r="CV38" i="241" s="1"/>
  <c r="FE38" i="241"/>
  <c r="ES26" i="241"/>
  <c r="ET28" i="241" s="1"/>
  <c r="EV28" i="241" s="1"/>
  <c r="FR28" i="241" s="1"/>
  <c r="EA24" i="241"/>
  <c r="EZ24" i="241" s="1"/>
  <c r="DZ24" i="241"/>
  <c r="EB23" i="241"/>
  <c r="EX23" i="241" s="1"/>
  <c r="FP23" i="241"/>
  <c r="FI23" i="241"/>
  <c r="GC23" i="241" s="1"/>
  <c r="DO38" i="241"/>
  <c r="DC38" i="241" s="1"/>
  <c r="DI38" i="241"/>
  <c r="CW38" i="241" s="1"/>
  <c r="BP38" i="241"/>
  <c r="BQ38" i="241" s="1"/>
  <c r="BX38" i="241"/>
  <c r="BR38" i="241"/>
  <c r="BS38" i="241" s="1"/>
  <c r="AT27" i="241"/>
  <c r="AC27" i="241"/>
  <c r="DQ25" i="241"/>
  <c r="DS25" i="241" s="1"/>
  <c r="DR25" i="241"/>
  <c r="DK38" i="241"/>
  <c r="DM38" i="241"/>
  <c r="DA38" i="241" s="1"/>
  <c r="DG38" i="241"/>
  <c r="CU38" i="241" s="1"/>
  <c r="CC38" i="241"/>
  <c r="FS26" i="241"/>
  <c r="AX26" i="241"/>
  <c r="AZ26" i="241" s="1"/>
  <c r="BA26" i="241" s="1"/>
  <c r="FM26" i="241" s="1"/>
  <c r="BG26" i="241"/>
  <c r="CY37" i="241"/>
  <c r="CQ37" i="241"/>
  <c r="CI37" i="241"/>
  <c r="CT37" i="241" s="1"/>
  <c r="CP37" i="241"/>
  <c r="CH37" i="241"/>
  <c r="CO37" i="241"/>
  <c r="CM37" i="241"/>
  <c r="CL37" i="241"/>
  <c r="CS37" i="241"/>
  <c r="CR37" i="241"/>
  <c r="CN37" i="241"/>
  <c r="CK37" i="241"/>
  <c r="CJ37" i="241"/>
  <c r="FH37" i="241"/>
  <c r="BL37" i="241"/>
  <c r="FY37" i="241" s="1"/>
  <c r="M38" i="241"/>
  <c r="K38" i="241"/>
  <c r="BV38" i="241"/>
  <c r="CF38" i="241"/>
  <c r="BZ38" i="241"/>
  <c r="CB38" i="241"/>
  <c r="BW38" i="241"/>
  <c r="DL38" i="241"/>
  <c r="CZ38" i="241" s="1"/>
  <c r="DF38" i="241"/>
  <c r="AE27" i="241"/>
  <c r="AO28" i="241"/>
  <c r="EO38" i="241"/>
  <c r="EG38" i="241"/>
  <c r="J38" i="241"/>
  <c r="FF38" i="241" s="1"/>
  <c r="EN38" i="241"/>
  <c r="EF38" i="241"/>
  <c r="EM38" i="241"/>
  <c r="EE38" i="241"/>
  <c r="ED38" i="241"/>
  <c r="EC38" i="241"/>
  <c r="EH38" i="241" s="1"/>
  <c r="AS38" i="241"/>
  <c r="AR38" i="241"/>
  <c r="EQ38" i="241"/>
  <c r="EP38" i="241"/>
  <c r="BD38" i="241"/>
  <c r="CD38" i="241"/>
  <c r="BY38" i="241"/>
  <c r="DN38" i="241"/>
  <c r="DB38" i="241" s="1"/>
  <c r="DP38" i="241"/>
  <c r="DD38" i="241" s="1"/>
  <c r="N37" i="241"/>
  <c r="BO37" i="241"/>
  <c r="GA37" i="241" s="1"/>
  <c r="D50" i="241" a="1"/>
  <c r="D50" i="241" s="1"/>
  <c r="D46" i="241"/>
  <c r="G46" i="241"/>
  <c r="D47" i="241"/>
  <c r="E46" i="241"/>
  <c r="D53" i="241"/>
  <c r="D45" i="241"/>
  <c r="F46" i="241"/>
  <c r="FW26" i="241"/>
  <c r="BU26" i="241"/>
  <c r="BT26" i="241"/>
  <c r="DJ38" i="241"/>
  <c r="CX38" i="241" s="1"/>
  <c r="CG38" i="241"/>
  <c r="BK38" i="241"/>
  <c r="FX38" i="241" s="1"/>
  <c r="CE38" i="241"/>
  <c r="DE38" i="241"/>
  <c r="CA38" i="241"/>
  <c r="EI37" i="241"/>
  <c r="EJ37" i="241" s="1"/>
  <c r="EK37" i="241" s="1"/>
  <c r="EL37" i="241" s="1"/>
  <c r="GG36" i="241" l="1"/>
  <c r="GI36" i="241" s="1"/>
  <c r="FA23" i="241"/>
  <c r="EY23" i="241"/>
  <c r="FB23" i="241"/>
  <c r="FC23" i="241" s="1"/>
  <c r="GD23" i="241" s="1"/>
  <c r="GE23" i="241" s="1"/>
  <c r="GH23" i="241" s="1"/>
  <c r="EB24" i="241"/>
  <c r="EX24" i="241" s="1"/>
  <c r="FP24" i="241"/>
  <c r="FI24" i="241"/>
  <c r="GC24" i="241" s="1"/>
  <c r="EI38" i="241"/>
  <c r="EJ38" i="241" s="1"/>
  <c r="EK38" i="241" s="1"/>
  <c r="EL38" i="241" s="1"/>
  <c r="AJ27" i="241"/>
  <c r="AI27" i="241"/>
  <c r="T27" i="241"/>
  <c r="EW28" i="241"/>
  <c r="Y28" i="241"/>
  <c r="AF28" i="241" s="1"/>
  <c r="AN28" i="241"/>
  <c r="V28" i="241" s="1"/>
  <c r="AC28" i="241" s="1"/>
  <c r="AH27" i="241"/>
  <c r="AL27" i="241" s="1"/>
  <c r="FV27" i="241"/>
  <c r="BM27" i="241"/>
  <c r="GB27" i="241" s="1"/>
  <c r="FH38" i="241"/>
  <c r="BL38" i="241"/>
  <c r="FY38" i="241" s="1"/>
  <c r="CS38" i="241"/>
  <c r="CK38" i="241"/>
  <c r="CR38" i="241"/>
  <c r="CJ38" i="241"/>
  <c r="CY38" i="241"/>
  <c r="CQ38" i="241"/>
  <c r="CI38" i="241"/>
  <c r="CT38" i="241" s="1"/>
  <c r="CP38" i="241"/>
  <c r="CH38" i="241"/>
  <c r="CO38" i="241"/>
  <c r="CN38" i="241"/>
  <c r="CL38" i="241"/>
  <c r="CM38" i="241"/>
  <c r="FQ25" i="241"/>
  <c r="BE25" i="241"/>
  <c r="E56" i="241"/>
  <c r="F56" i="241"/>
  <c r="D56" i="241"/>
  <c r="DR26" i="241"/>
  <c r="DQ26" i="241"/>
  <c r="DS26" i="241" s="1"/>
  <c r="D48" i="241"/>
  <c r="D54" i="241"/>
  <c r="N38" i="241"/>
  <c r="BO38" i="241"/>
  <c r="GA38" i="241" s="1"/>
  <c r="GG37" i="241" l="1"/>
  <c r="GI37" i="241" s="1"/>
  <c r="GF23" i="241"/>
  <c r="FD23" i="241"/>
  <c r="FB24" i="241"/>
  <c r="FC24" i="241" s="1"/>
  <c r="GD24" i="241" s="1"/>
  <c r="GE24" i="241" s="1"/>
  <c r="GH24" i="241" s="1"/>
  <c r="FA24" i="241"/>
  <c r="EY24" i="241"/>
  <c r="AM27" i="241"/>
  <c r="AT28" i="241"/>
  <c r="AE28" i="241"/>
  <c r="AI28" i="241" s="1"/>
  <c r="AO29" i="241"/>
  <c r="G56" i="241"/>
  <c r="D57" i="241"/>
  <c r="E57" i="241"/>
  <c r="F57" i="241"/>
  <c r="G57" i="241"/>
  <c r="FQ26" i="241"/>
  <c r="BE26" i="241"/>
  <c r="AY27" i="241"/>
  <c r="FT27" i="241"/>
  <c r="BJ27" i="241"/>
  <c r="AW27" i="241"/>
  <c r="AV27" i="241"/>
  <c r="AQ27" i="241" s="1"/>
  <c r="AU27" i="241" s="1"/>
  <c r="BF25" i="241"/>
  <c r="BH25" i="241"/>
  <c r="BI25" i="241" s="1"/>
  <c r="T28" i="241"/>
  <c r="AV28" i="241" s="1"/>
  <c r="AQ28" i="241" s="1"/>
  <c r="AU28" i="241" s="1"/>
  <c r="AJ28" i="241"/>
  <c r="ES27" i="241" l="1"/>
  <c r="ET29" i="241" s="1"/>
  <c r="EV29" i="241" s="1"/>
  <c r="FR29" i="241" s="1"/>
  <c r="GF24" i="241"/>
  <c r="FD24" i="241"/>
  <c r="EA25" i="241"/>
  <c r="EZ25" i="241" s="1"/>
  <c r="DZ25" i="241"/>
  <c r="EW29" i="241"/>
  <c r="FS28" i="241"/>
  <c r="BG28" i="241"/>
  <c r="AX28" i="241"/>
  <c r="Y29" i="241"/>
  <c r="AF29" i="241" s="1"/>
  <c r="AN29" i="241"/>
  <c r="V29" i="241" s="1"/>
  <c r="FW27" i="241"/>
  <c r="BU27" i="241"/>
  <c r="BT27" i="241"/>
  <c r="GG38" i="241"/>
  <c r="AH28" i="241"/>
  <c r="AL28" i="241" s="1"/>
  <c r="AM28" i="241" s="1"/>
  <c r="FS27" i="241"/>
  <c r="BG27" i="241"/>
  <c r="AX27" i="241"/>
  <c r="AZ27" i="241" s="1"/>
  <c r="BA27" i="241" s="1"/>
  <c r="FM27" i="241" s="1"/>
  <c r="FT28" i="241"/>
  <c r="AY28" i="241"/>
  <c r="BJ28" i="241"/>
  <c r="AW28" i="241"/>
  <c r="BF26" i="241"/>
  <c r="BH26" i="241"/>
  <c r="BI26" i="241" s="1"/>
  <c r="FV28" i="241"/>
  <c r="BM28" i="241"/>
  <c r="GB28" i="241" s="1"/>
  <c r="ES28" i="241" l="1"/>
  <c r="ET30" i="241" s="1"/>
  <c r="EV30" i="241" s="1"/>
  <c r="FR30" i="241" s="1"/>
  <c r="GI38" i="241"/>
  <c r="EA26" i="241"/>
  <c r="EZ26" i="241" s="1"/>
  <c r="DZ26" i="241"/>
  <c r="FI25" i="241"/>
  <c r="GC25" i="241" s="1"/>
  <c r="EB25" i="241"/>
  <c r="EX25" i="241" s="1"/>
  <c r="FP25" i="241"/>
  <c r="AT29" i="241"/>
  <c r="AC29" i="241"/>
  <c r="FW28" i="241"/>
  <c r="BT28" i="241"/>
  <c r="BU28" i="241"/>
  <c r="AZ28" i="241"/>
  <c r="BA28" i="241" s="1"/>
  <c r="FM28" i="241" s="1"/>
  <c r="DR27" i="241"/>
  <c r="DQ27" i="241"/>
  <c r="DS27" i="241" s="1"/>
  <c r="AE29" i="241"/>
  <c r="AO30" i="241"/>
  <c r="D60" i="241" l="1"/>
  <c r="D62" i="241" s="1"/>
  <c r="FP26" i="241"/>
  <c r="EB26" i="241"/>
  <c r="EX26" i="241" s="1"/>
  <c r="FI26" i="241"/>
  <c r="GC26" i="241" s="1"/>
  <c r="EY25" i="241"/>
  <c r="FB25" i="241"/>
  <c r="FC25" i="241" s="1"/>
  <c r="GD25" i="241" s="1"/>
  <c r="GE25" i="241" s="1"/>
  <c r="GH25" i="241" s="1"/>
  <c r="FA25" i="241"/>
  <c r="AJ29" i="241"/>
  <c r="AI29" i="241"/>
  <c r="EW30" i="241"/>
  <c r="T29" i="241"/>
  <c r="E53" i="241"/>
  <c r="E45" i="241"/>
  <c r="AN30" i="241"/>
  <c r="V30" i="241" s="1"/>
  <c r="AC30" i="241" s="1"/>
  <c r="Y30" i="241"/>
  <c r="AF30" i="241" s="1"/>
  <c r="AH29" i="241"/>
  <c r="AL29" i="241" s="1"/>
  <c r="E47" i="241"/>
  <c r="FV29" i="241"/>
  <c r="BM29" i="241"/>
  <c r="GB29" i="241" s="1"/>
  <c r="FQ27" i="241"/>
  <c r="BE27" i="241"/>
  <c r="DR28" i="241"/>
  <c r="DQ28" i="241"/>
  <c r="DS28" i="241" s="1"/>
  <c r="GF25" i="241" l="1"/>
  <c r="FD25" i="241"/>
  <c r="EY26" i="241"/>
  <c r="FA26" i="241"/>
  <c r="FB26" i="241"/>
  <c r="FC26" i="241" s="1"/>
  <c r="GD26" i="241" s="1"/>
  <c r="GE26" i="241" s="1"/>
  <c r="GH26" i="241" s="1"/>
  <c r="E48" i="241"/>
  <c r="AY29" i="241"/>
  <c r="FT29" i="241"/>
  <c r="BJ29" i="241"/>
  <c r="AW29" i="241"/>
  <c r="AV29" i="241"/>
  <c r="AQ29" i="241" s="1"/>
  <c r="AU29" i="241" s="1"/>
  <c r="T30" i="241"/>
  <c r="AV30" i="241" s="1"/>
  <c r="AQ30" i="241" s="1"/>
  <c r="AU30" i="241" s="1"/>
  <c r="AJ30" i="241"/>
  <c r="BF27" i="241"/>
  <c r="BH27" i="241"/>
  <c r="BI27" i="241" s="1"/>
  <c r="AE30" i="241"/>
  <c r="AI30" i="241" s="1"/>
  <c r="AO31" i="241"/>
  <c r="AM29" i="241"/>
  <c r="FQ28" i="241"/>
  <c r="BE28" i="241"/>
  <c r="AT30" i="241"/>
  <c r="ES29" i="241" l="1"/>
  <c r="ET31" i="241" s="1"/>
  <c r="EV31" i="241" s="1"/>
  <c r="FR31" i="241" s="1"/>
  <c r="GF26" i="241"/>
  <c r="FD26" i="241"/>
  <c r="DZ27" i="241"/>
  <c r="EA27" i="241"/>
  <c r="EZ27" i="241" s="1"/>
  <c r="EW31" i="241"/>
  <c r="E50" i="241"/>
  <c r="E54" i="241" s="1"/>
  <c r="FW29" i="241"/>
  <c r="BU29" i="241"/>
  <c r="BT29" i="241"/>
  <c r="FS29" i="241"/>
  <c r="AX29" i="241"/>
  <c r="AZ29" i="241" s="1"/>
  <c r="BA29" i="241" s="1"/>
  <c r="FM29" i="241" s="1"/>
  <c r="BG29" i="241"/>
  <c r="AN31" i="241"/>
  <c r="V31" i="241" s="1"/>
  <c r="Y31" i="241"/>
  <c r="AF31" i="241" s="1"/>
  <c r="FT30" i="241"/>
  <c r="AY30" i="241"/>
  <c r="BJ30" i="241"/>
  <c r="AW30" i="241"/>
  <c r="BF28" i="241"/>
  <c r="BH28" i="241"/>
  <c r="BI28" i="241" s="1"/>
  <c r="FS30" i="241"/>
  <c r="BG30" i="241"/>
  <c r="AX30" i="241"/>
  <c r="AH30" i="241"/>
  <c r="AL30" i="241" s="1"/>
  <c r="AM30" i="241" s="1"/>
  <c r="FV30" i="241"/>
  <c r="BM30" i="241"/>
  <c r="GB30" i="241" s="1"/>
  <c r="ES30" i="241" l="1"/>
  <c r="ET32" i="241" s="1"/>
  <c r="EV32" i="241" s="1"/>
  <c r="FR32" i="241" s="1"/>
  <c r="EA28" i="241"/>
  <c r="EZ28" i="241" s="1"/>
  <c r="DZ28" i="241"/>
  <c r="FI27" i="241"/>
  <c r="GC27" i="241" s="1"/>
  <c r="EB27" i="241"/>
  <c r="EX27" i="241" s="1"/>
  <c r="FP27" i="241"/>
  <c r="BT30" i="241"/>
  <c r="BU30" i="241"/>
  <c r="FW30" i="241"/>
  <c r="DQ29" i="241"/>
  <c r="DS29" i="241" s="1"/>
  <c r="DR29" i="241"/>
  <c r="AE31" i="241"/>
  <c r="AO32" i="241"/>
  <c r="AT31" i="241"/>
  <c r="AC31" i="241"/>
  <c r="AZ30" i="241"/>
  <c r="BA30" i="241" s="1"/>
  <c r="FM30" i="241" s="1"/>
  <c r="FA27" i="241" l="1"/>
  <c r="EY27" i="241"/>
  <c r="FB27" i="241"/>
  <c r="FC27" i="241" s="1"/>
  <c r="GD27" i="241" s="1"/>
  <c r="GE27" i="241" s="1"/>
  <c r="GH27" i="241" s="1"/>
  <c r="EB28" i="241"/>
  <c r="EX28" i="241" s="1"/>
  <c r="FP28" i="241"/>
  <c r="FI28" i="241"/>
  <c r="GC28" i="241" s="1"/>
  <c r="DR30" i="241"/>
  <c r="DQ30" i="241"/>
  <c r="AH31" i="241"/>
  <c r="AL31" i="241" s="1"/>
  <c r="Y32" i="241"/>
  <c r="AF32" i="241" s="1"/>
  <c r="AN32" i="241"/>
  <c r="V32" i="241" s="1"/>
  <c r="AC32" i="241" s="1"/>
  <c r="FV31" i="241"/>
  <c r="BM31" i="241"/>
  <c r="GB31" i="241" s="1"/>
  <c r="T31" i="241"/>
  <c r="AJ31" i="241"/>
  <c r="AI31" i="241"/>
  <c r="EW32" i="241"/>
  <c r="FQ29" i="241"/>
  <c r="BE29" i="241"/>
  <c r="GF27" i="241" l="1"/>
  <c r="FD27" i="241"/>
  <c r="FA28" i="241"/>
  <c r="EY28" i="241"/>
  <c r="FB28" i="241"/>
  <c r="FC28" i="241" s="1"/>
  <c r="GD28" i="241" s="1"/>
  <c r="GE28" i="241" s="1"/>
  <c r="GH28" i="241" s="1"/>
  <c r="BF29" i="241"/>
  <c r="BH29" i="241"/>
  <c r="BI29" i="241" s="1"/>
  <c r="AM31" i="241"/>
  <c r="FQ30" i="241"/>
  <c r="BE30" i="241"/>
  <c r="FT31" i="241"/>
  <c r="AY31" i="241"/>
  <c r="BJ31" i="241"/>
  <c r="AW31" i="241"/>
  <c r="AV31" i="241"/>
  <c r="AQ31" i="241" s="1"/>
  <c r="AU31" i="241" s="1"/>
  <c r="AT32" i="241"/>
  <c r="T32" i="241"/>
  <c r="AV32" i="241" s="1"/>
  <c r="AQ32" i="241" s="1"/>
  <c r="AU32" i="241" s="1"/>
  <c r="AJ32" i="241"/>
  <c r="AE32" i="241"/>
  <c r="AO33" i="241"/>
  <c r="DS30" i="241"/>
  <c r="GF28" i="241" l="1"/>
  <c r="FD28" i="241"/>
  <c r="ES31" i="241"/>
  <c r="ET33" i="241" s="1"/>
  <c r="EV33" i="241" s="1"/>
  <c r="FR33" i="241" s="1"/>
  <c r="EA29" i="241"/>
  <c r="EZ29" i="241" s="1"/>
  <c r="DZ29" i="241"/>
  <c r="FV32" i="241"/>
  <c r="BM32" i="241"/>
  <c r="GB32" i="241" s="1"/>
  <c r="AH32" i="241"/>
  <c r="AL32" i="241" s="1"/>
  <c r="AM32" i="241" s="1"/>
  <c r="EW33" i="241"/>
  <c r="FW31" i="241"/>
  <c r="BU31" i="241"/>
  <c r="BT31" i="241"/>
  <c r="AY32" i="241"/>
  <c r="FT32" i="241"/>
  <c r="BJ32" i="241"/>
  <c r="AW32" i="241"/>
  <c r="FS31" i="241"/>
  <c r="AX31" i="241"/>
  <c r="AZ31" i="241" s="1"/>
  <c r="BA31" i="241" s="1"/>
  <c r="FM31" i="241" s="1"/>
  <c r="BG31" i="241"/>
  <c r="AI32" i="241"/>
  <c r="Y33" i="241"/>
  <c r="AF33" i="241" s="1"/>
  <c r="AN33" i="241"/>
  <c r="V33" i="241" s="1"/>
  <c r="FS32" i="241"/>
  <c r="BG32" i="241"/>
  <c r="AX32" i="241"/>
  <c r="BF30" i="241"/>
  <c r="BH30" i="241"/>
  <c r="BI30" i="241" s="1"/>
  <c r="ES32" i="241" l="1"/>
  <c r="ET34" i="241" s="1"/>
  <c r="EV34" i="241" s="1"/>
  <c r="FR34" i="241" s="1"/>
  <c r="FP29" i="241"/>
  <c r="EB29" i="241"/>
  <c r="EX29" i="241" s="1"/>
  <c r="FI29" i="241"/>
  <c r="GC29" i="241" s="1"/>
  <c r="DZ30" i="241"/>
  <c r="EA30" i="241"/>
  <c r="EZ30" i="241" s="1"/>
  <c r="AZ32" i="241"/>
  <c r="BA32" i="241" s="1"/>
  <c r="FM32" i="241" s="1"/>
  <c r="FW32" i="241"/>
  <c r="BU32" i="241"/>
  <c r="BT32" i="241"/>
  <c r="AT33" i="241"/>
  <c r="AC33" i="241"/>
  <c r="AE33" i="241"/>
  <c r="AO34" i="241"/>
  <c r="DQ31" i="241"/>
  <c r="DS31" i="241" s="1"/>
  <c r="DR31" i="241"/>
  <c r="EB30" i="241" l="1"/>
  <c r="EX30" i="241" s="1"/>
  <c r="FP30" i="241"/>
  <c r="FI30" i="241"/>
  <c r="GC30" i="241" s="1"/>
  <c r="FA29" i="241"/>
  <c r="EY29" i="241"/>
  <c r="FB29" i="241"/>
  <c r="FC29" i="241" s="1"/>
  <c r="GD29" i="241" s="1"/>
  <c r="GE29" i="241" s="1"/>
  <c r="GH29" i="241" s="1"/>
  <c r="FV33" i="241"/>
  <c r="BM33" i="241"/>
  <c r="GB33" i="241" s="1"/>
  <c r="DR32" i="241"/>
  <c r="DQ32" i="241"/>
  <c r="FQ31" i="241"/>
  <c r="BE31" i="241"/>
  <c r="Y34" i="241"/>
  <c r="AF34" i="241" s="1"/>
  <c r="AN34" i="241"/>
  <c r="V34" i="241" s="1"/>
  <c r="AJ33" i="241"/>
  <c r="AI33" i="241"/>
  <c r="T33" i="241"/>
  <c r="EW34" i="241"/>
  <c r="AH33" i="241"/>
  <c r="AL33" i="241" s="1"/>
  <c r="GF29" i="241" l="1"/>
  <c r="FD29" i="241"/>
  <c r="FA30" i="241"/>
  <c r="EY30" i="241"/>
  <c r="FB30" i="241"/>
  <c r="FC30" i="241" s="1"/>
  <c r="GD30" i="241" s="1"/>
  <c r="GE30" i="241" s="1"/>
  <c r="GH30" i="241" s="1"/>
  <c r="BF31" i="241"/>
  <c r="BH31" i="241"/>
  <c r="BI31" i="241" s="1"/>
  <c r="AE34" i="241"/>
  <c r="AO35" i="241"/>
  <c r="FQ32" i="241"/>
  <c r="BE32" i="241"/>
  <c r="AT34" i="241"/>
  <c r="AM33" i="241"/>
  <c r="AY33" i="241"/>
  <c r="FT33" i="241"/>
  <c r="BJ33" i="241"/>
  <c r="AW33" i="241"/>
  <c r="AV33" i="241"/>
  <c r="AQ33" i="241" s="1"/>
  <c r="AU33" i="241" s="1"/>
  <c r="AC34" i="241"/>
  <c r="DS32" i="241"/>
  <c r="GF30" i="241" l="1"/>
  <c r="FD30" i="241"/>
  <c r="ES33" i="241"/>
  <c r="ET35" i="241" s="1"/>
  <c r="EV35" i="241" s="1"/>
  <c r="FR35" i="241" s="1"/>
  <c r="EA31" i="241"/>
  <c r="EZ31" i="241" s="1"/>
  <c r="DZ31" i="241"/>
  <c r="BF32" i="241"/>
  <c r="BH32" i="241"/>
  <c r="BI32" i="241" s="1"/>
  <c r="Y35" i="241"/>
  <c r="AF35" i="241" s="1"/>
  <c r="AN35" i="241"/>
  <c r="V35" i="241" s="1"/>
  <c r="FS33" i="241"/>
  <c r="BG33" i="241"/>
  <c r="AX33" i="241"/>
  <c r="AZ33" i="241" s="1"/>
  <c r="BA33" i="241" s="1"/>
  <c r="FM33" i="241" s="1"/>
  <c r="AH34" i="241"/>
  <c r="AL34" i="241" s="1"/>
  <c r="F47" i="241"/>
  <c r="AI34" i="241"/>
  <c r="T34" i="241"/>
  <c r="AJ34" i="241"/>
  <c r="EW35" i="241"/>
  <c r="F45" i="241"/>
  <c r="F53" i="241"/>
  <c r="FW33" i="241"/>
  <c r="BU33" i="241"/>
  <c r="BT33" i="241"/>
  <c r="FV34" i="241"/>
  <c r="BM34" i="241"/>
  <c r="GB34" i="241" s="1"/>
  <c r="DZ32" i="241" l="1"/>
  <c r="EA32" i="241"/>
  <c r="EZ32" i="241" s="1"/>
  <c r="EB31" i="241"/>
  <c r="EX31" i="241" s="1"/>
  <c r="FI31" i="241"/>
  <c r="GC31" i="241" s="1"/>
  <c r="FP31" i="241"/>
  <c r="F48" i="241"/>
  <c r="AT35" i="241"/>
  <c r="AE35" i="241"/>
  <c r="AO36" i="241"/>
  <c r="AM34" i="241"/>
  <c r="AY34" i="241"/>
  <c r="FT34" i="241"/>
  <c r="BJ34" i="241"/>
  <c r="AW34" i="241"/>
  <c r="AV34" i="241"/>
  <c r="AQ34" i="241" s="1"/>
  <c r="AU34" i="241" s="1"/>
  <c r="DR33" i="241"/>
  <c r="DQ33" i="241"/>
  <c r="DS33" i="241" s="1"/>
  <c r="AC35" i="241"/>
  <c r="ES34" i="241" l="1"/>
  <c r="ET36" i="241" s="1"/>
  <c r="EV36" i="241" s="1"/>
  <c r="FR36" i="241" s="1"/>
  <c r="FA31" i="241"/>
  <c r="EY31" i="241"/>
  <c r="FB31" i="241"/>
  <c r="FC31" i="241" s="1"/>
  <c r="GD31" i="241" s="1"/>
  <c r="GE31" i="241" s="1"/>
  <c r="GH31" i="241" s="1"/>
  <c r="FP32" i="241"/>
  <c r="EB32" i="241"/>
  <c r="EX32" i="241" s="1"/>
  <c r="FI32" i="241"/>
  <c r="GC32" i="241" s="1"/>
  <c r="AN36" i="241"/>
  <c r="V36" i="241" s="1"/>
  <c r="AC36" i="241" s="1"/>
  <c r="Y36" i="241"/>
  <c r="AF36" i="241" s="1"/>
  <c r="FW34" i="241"/>
  <c r="BU34" i="241"/>
  <c r="BT34" i="241"/>
  <c r="FS34" i="241"/>
  <c r="BG34" i="241"/>
  <c r="AX34" i="241"/>
  <c r="AZ34" i="241" s="1"/>
  <c r="BA34" i="241" s="1"/>
  <c r="FM34" i="241" s="1"/>
  <c r="AH35" i="241"/>
  <c r="AL35" i="241" s="1"/>
  <c r="F50" i="241"/>
  <c r="F54" i="241" s="1"/>
  <c r="AJ35" i="241"/>
  <c r="AI35" i="241"/>
  <c r="T35" i="241"/>
  <c r="EW36" i="241"/>
  <c r="FV35" i="241"/>
  <c r="BM35" i="241"/>
  <c r="GB35" i="241" s="1"/>
  <c r="FQ33" i="241"/>
  <c r="BE33" i="241"/>
  <c r="GF31" i="241" l="1"/>
  <c r="FD31" i="241"/>
  <c r="EY32" i="241"/>
  <c r="FA32" i="241"/>
  <c r="FB32" i="241"/>
  <c r="FC32" i="241" s="1"/>
  <c r="GD32" i="241" s="1"/>
  <c r="GE32" i="241" s="1"/>
  <c r="GH32" i="241" s="1"/>
  <c r="DR34" i="241"/>
  <c r="DQ34" i="241"/>
  <c r="BF33" i="241"/>
  <c r="BH33" i="241"/>
  <c r="BI33" i="241" s="1"/>
  <c r="T36" i="241"/>
  <c r="AV36" i="241" s="1"/>
  <c r="AQ36" i="241" s="1"/>
  <c r="AU36" i="241" s="1"/>
  <c r="AJ36" i="241"/>
  <c r="AM35" i="241"/>
  <c r="AY35" i="241"/>
  <c r="FT35" i="241"/>
  <c r="BJ35" i="241"/>
  <c r="AW35" i="241"/>
  <c r="AV35" i="241"/>
  <c r="AQ35" i="241" s="1"/>
  <c r="AU35" i="241" s="1"/>
  <c r="AE36" i="241"/>
  <c r="AO37" i="241"/>
  <c r="AT36" i="241"/>
  <c r="ES35" i="241" l="1"/>
  <c r="ET37" i="241" s="1"/>
  <c r="EV37" i="241" s="1"/>
  <c r="FR37" i="241" s="1"/>
  <c r="GF32" i="241"/>
  <c r="FD32" i="241"/>
  <c r="DZ33" i="241"/>
  <c r="EA33" i="241"/>
  <c r="EZ33" i="241" s="1"/>
  <c r="FS35" i="241"/>
  <c r="BG35" i="241"/>
  <c r="AX35" i="241"/>
  <c r="AZ35" i="241" s="1"/>
  <c r="BA35" i="241" s="1"/>
  <c r="FM35" i="241" s="1"/>
  <c r="FQ34" i="241"/>
  <c r="BE34" i="241"/>
  <c r="FW35" i="241"/>
  <c r="BU35" i="241"/>
  <c r="BT35" i="241"/>
  <c r="AY36" i="241"/>
  <c r="FT36" i="241"/>
  <c r="BJ36" i="241"/>
  <c r="AW36" i="241"/>
  <c r="FS36" i="241"/>
  <c r="BG36" i="241"/>
  <c r="AX36" i="241"/>
  <c r="AH36" i="241"/>
  <c r="AL36" i="241" s="1"/>
  <c r="AM36" i="241" s="1"/>
  <c r="EW37" i="241"/>
  <c r="AI36" i="241"/>
  <c r="FV36" i="241"/>
  <c r="BM36" i="241"/>
  <c r="GB36" i="241" s="1"/>
  <c r="DS34" i="241"/>
  <c r="Y37" i="241"/>
  <c r="AF37" i="241" s="1"/>
  <c r="AN37" i="241"/>
  <c r="V37" i="241" s="1"/>
  <c r="ES36" i="241" l="1"/>
  <c r="ET38" i="241" s="1"/>
  <c r="EV38" i="241" s="1"/>
  <c r="FR38" i="241" s="1"/>
  <c r="EB33" i="241"/>
  <c r="EX33" i="241" s="1"/>
  <c r="FP33" i="241"/>
  <c r="FI33" i="241"/>
  <c r="GC33" i="241" s="1"/>
  <c r="AZ36" i="241"/>
  <c r="BA36" i="241" s="1"/>
  <c r="FM36" i="241" s="1"/>
  <c r="FW36" i="241"/>
  <c r="BT36" i="241"/>
  <c r="BU36" i="241"/>
  <c r="AT37" i="241"/>
  <c r="AC37" i="241"/>
  <c r="DR35" i="241"/>
  <c r="DQ35" i="241"/>
  <c r="DS35" i="241" s="1"/>
  <c r="AE37" i="241"/>
  <c r="AO38" i="241"/>
  <c r="BF34" i="241"/>
  <c r="BH34" i="241"/>
  <c r="BI34" i="241" s="1"/>
  <c r="DZ34" i="241" l="1"/>
  <c r="EA34" i="241"/>
  <c r="EZ34" i="241" s="1"/>
  <c r="EY33" i="241"/>
  <c r="FA33" i="241"/>
  <c r="FB33" i="241"/>
  <c r="FC33" i="241" s="1"/>
  <c r="GD33" i="241" s="1"/>
  <c r="GE33" i="241" s="1"/>
  <c r="GH33" i="241" s="1"/>
  <c r="T37" i="241"/>
  <c r="AI37" i="241"/>
  <c r="AJ37" i="241"/>
  <c r="EW38" i="241"/>
  <c r="AH37" i="241"/>
  <c r="AL37" i="241" s="1"/>
  <c r="FQ35" i="241"/>
  <c r="BE35" i="241"/>
  <c r="DR36" i="241"/>
  <c r="DQ36" i="241"/>
  <c r="DS36" i="241" s="1"/>
  <c r="AN38" i="241"/>
  <c r="V38" i="241" s="1"/>
  <c r="Y38" i="241"/>
  <c r="AF38" i="241" s="1"/>
  <c r="FV37" i="241"/>
  <c r="BM37" i="241"/>
  <c r="GB37" i="241" s="1"/>
  <c r="GF33" i="241" l="1"/>
  <c r="FD33" i="241"/>
  <c r="FP34" i="241"/>
  <c r="EB34" i="241"/>
  <c r="EX34" i="241" s="1"/>
  <c r="FI34" i="241"/>
  <c r="GC34" i="241" s="1"/>
  <c r="FQ36" i="241"/>
  <c r="BE36" i="241"/>
  <c r="AE38" i="241"/>
  <c r="AM37" i="241"/>
  <c r="AT38" i="241"/>
  <c r="BF35" i="241"/>
  <c r="BH35" i="241"/>
  <c r="BI35" i="241" s="1"/>
  <c r="AC38" i="241"/>
  <c r="FT37" i="241"/>
  <c r="AY37" i="241"/>
  <c r="BJ37" i="241"/>
  <c r="AW37" i="241"/>
  <c r="AV37" i="241"/>
  <c r="AQ37" i="241" s="1"/>
  <c r="AU37" i="241" s="1"/>
  <c r="ES37" i="241" l="1"/>
  <c r="DZ35" i="241"/>
  <c r="EA35" i="241"/>
  <c r="EZ35" i="241" s="1"/>
  <c r="FB34" i="241"/>
  <c r="FC34" i="241" s="1"/>
  <c r="GD34" i="241" s="1"/>
  <c r="GE34" i="241" s="1"/>
  <c r="GH34" i="241" s="1"/>
  <c r="EY34" i="241"/>
  <c r="FA34" i="241"/>
  <c r="FS37" i="241"/>
  <c r="BG37" i="241"/>
  <c r="AX37" i="241"/>
  <c r="AZ37" i="241" s="1"/>
  <c r="BA37" i="241" s="1"/>
  <c r="FM37" i="241" s="1"/>
  <c r="BF36" i="241"/>
  <c r="BH36" i="241"/>
  <c r="BI36" i="241" s="1"/>
  <c r="T38" i="241"/>
  <c r="AJ38" i="241"/>
  <c r="AI38" i="241"/>
  <c r="AH38" i="241"/>
  <c r="AL38" i="241" s="1"/>
  <c r="BU37" i="241"/>
  <c r="FW37" i="241"/>
  <c r="BT37" i="241"/>
  <c r="FV38" i="241"/>
  <c r="BM38" i="241"/>
  <c r="GB38" i="241" s="1"/>
  <c r="GF34" i="241" l="1"/>
  <c r="FD34" i="241"/>
  <c r="DZ36" i="241"/>
  <c r="EA36" i="241"/>
  <c r="EZ36" i="241" s="1"/>
  <c r="FP35" i="241"/>
  <c r="EB35" i="241"/>
  <c r="EX35" i="241" s="1"/>
  <c r="FI35" i="241"/>
  <c r="GC35" i="241" s="1"/>
  <c r="D69" i="241"/>
  <c r="G47" i="241"/>
  <c r="AM38" i="241"/>
  <c r="FT38" i="241"/>
  <c r="AY38" i="241"/>
  <c r="BJ38" i="241"/>
  <c r="AW38" i="241"/>
  <c r="AV38" i="241"/>
  <c r="AQ38" i="241" s="1"/>
  <c r="AU38" i="241" s="1"/>
  <c r="DR37" i="241"/>
  <c r="DQ37" i="241"/>
  <c r="DS37" i="241" s="1"/>
  <c r="ES38" i="241" l="1"/>
  <c r="EY35" i="241"/>
  <c r="FB35" i="241"/>
  <c r="FC35" i="241" s="1"/>
  <c r="GD35" i="241" s="1"/>
  <c r="GE35" i="241" s="1"/>
  <c r="GH35" i="241" s="1"/>
  <c r="FA35" i="241"/>
  <c r="FP36" i="241"/>
  <c r="EB36" i="241"/>
  <c r="EX36" i="241" s="1"/>
  <c r="FI36" i="241"/>
  <c r="GC36" i="241" s="1"/>
  <c r="G45" i="241"/>
  <c r="G48" i="241" s="1"/>
  <c r="G53" i="241"/>
  <c r="FQ37" i="241"/>
  <c r="BE37" i="241"/>
  <c r="FW38" i="241"/>
  <c r="BU38" i="241"/>
  <c r="BT38" i="241"/>
  <c r="FS38" i="241"/>
  <c r="BG38" i="241"/>
  <c r="AX38" i="241"/>
  <c r="AZ38" i="241" s="1"/>
  <c r="BA38" i="241" s="1"/>
  <c r="FM38" i="241" s="1"/>
  <c r="GF35" i="241" l="1"/>
  <c r="FD35" i="241"/>
  <c r="EY36" i="241"/>
  <c r="FA36" i="241"/>
  <c r="FB36" i="241"/>
  <c r="FC36" i="241" s="1"/>
  <c r="GD36" i="241" s="1"/>
  <c r="GE36" i="241" s="1"/>
  <c r="GH36" i="241" s="1"/>
  <c r="G50" i="241"/>
  <c r="G54" i="241" s="1"/>
  <c r="DQ38" i="241"/>
  <c r="DS38" i="241" s="1"/>
  <c r="DR38" i="241"/>
  <c r="BF37" i="241"/>
  <c r="BH37" i="241"/>
  <c r="BI37" i="241" s="1"/>
  <c r="GF36" i="241" l="1"/>
  <c r="FD36" i="241"/>
  <c r="DZ37" i="241"/>
  <c r="EA37" i="241"/>
  <c r="EZ37" i="241" s="1"/>
  <c r="FQ38" i="241"/>
  <c r="BE38" i="241"/>
  <c r="FP37" i="241" l="1"/>
  <c r="EB37" i="241"/>
  <c r="EX37" i="241" s="1"/>
  <c r="FI37" i="241"/>
  <c r="GC37" i="241" s="1"/>
  <c r="BF38" i="241"/>
  <c r="BH38" i="241"/>
  <c r="BI38" i="241" s="1"/>
  <c r="EA38" i="241" l="1"/>
  <c r="EZ38" i="241" s="1"/>
  <c r="DZ38" i="241"/>
  <c r="FB37" i="241"/>
  <c r="FC37" i="241" s="1"/>
  <c r="GD37" i="241" s="1"/>
  <c r="GE37" i="241" s="1"/>
  <c r="GH37" i="241" s="1"/>
  <c r="FA37" i="241"/>
  <c r="EY37" i="241"/>
  <c r="E52" i="241"/>
  <c r="F52" i="241"/>
  <c r="D52" i="241"/>
  <c r="GF37" i="241" l="1"/>
  <c r="FD37" i="241"/>
  <c r="EB38" i="241"/>
  <c r="EX38" i="241" s="1"/>
  <c r="G43" i="241" s="1"/>
  <c r="FP38" i="241"/>
  <c r="FI38" i="241"/>
  <c r="GC38" i="241" s="1"/>
  <c r="F43" i="241"/>
  <c r="D43" i="241"/>
  <c r="E43" i="241"/>
  <c r="G52" i="241" l="1"/>
  <c r="EY38" i="241"/>
  <c r="FB38" i="241"/>
  <c r="FC38" i="241" s="1"/>
  <c r="GD38" i="241" s="1"/>
  <c r="GE38" i="241" s="1"/>
  <c r="GH38" i="241" s="1"/>
  <c r="FA38" i="241"/>
  <c r="D44" i="241"/>
  <c r="D55" i="241" s="1"/>
  <c r="E44" i="241"/>
  <c r="E55" i="241" s="1"/>
  <c r="F44" i="241"/>
  <c r="F55" i="241" s="1"/>
  <c r="D49" i="241"/>
  <c r="D51" i="241" s="1"/>
  <c r="E49" i="241"/>
  <c r="E51" i="241" s="1"/>
  <c r="F49" i="241"/>
  <c r="F51" i="241" s="1"/>
  <c r="GF38" i="241" l="1"/>
  <c r="FD38" i="241"/>
  <c r="D72" i="241" l="1"/>
  <c r="D71" i="241"/>
  <c r="G44" i="241" l="1"/>
  <c r="G55" i="241" s="1"/>
  <c r="D59" i="241"/>
  <c r="D61" i="241" s="1"/>
  <c r="G49" i="241"/>
  <c r="G51" i="24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<sst xmlns="http://schemas.openxmlformats.org/spreadsheetml/2006/main" count="2543" uniqueCount="830">
  <si>
    <t>Year</t>
  </si>
  <si>
    <t>Roth Balance</t>
  </si>
  <si>
    <t>Roth Start Balance</t>
  </si>
  <si>
    <t>Income Streams to support Expenses</t>
  </si>
  <si>
    <t>Inflation Rate</t>
  </si>
  <si>
    <t>Spendable Income</t>
  </si>
  <si>
    <t>State Tax</t>
  </si>
  <si>
    <t>TCJA</t>
  </si>
  <si>
    <t>Federal Indexing Rate</t>
  </si>
  <si>
    <t>TCJA Fed Income</t>
  </si>
  <si>
    <t>Post-TCJA Fed Income</t>
  </si>
  <si>
    <t>Tax Calculations</t>
  </si>
  <si>
    <t>Inflation Adjusted Tax</t>
  </si>
  <si>
    <t>Baseline Medicare</t>
  </si>
  <si>
    <t>Age 75</t>
  </si>
  <si>
    <t>Age 85</t>
  </si>
  <si>
    <t>Pension 1</t>
  </si>
  <si>
    <t>Pension 2</t>
  </si>
  <si>
    <t>UnQual Brokerage Balance</t>
  </si>
  <si>
    <t>UnQual Brokerage Income</t>
  </si>
  <si>
    <t>Plan Age 1</t>
  </si>
  <si>
    <t>Plan Age 2</t>
  </si>
  <si>
    <t>Total SS</t>
  </si>
  <si>
    <t>Age 1</t>
  </si>
  <si>
    <t>Age 2</t>
  </si>
  <si>
    <t>Total External Income</t>
  </si>
  <si>
    <t>Draw</t>
  </si>
  <si>
    <t>External Income</t>
  </si>
  <si>
    <t>Joint</t>
  </si>
  <si>
    <t>Single</t>
  </si>
  <si>
    <t xml:space="preserve"> Investment (Before-Tax or Inflation) Growth Rate</t>
  </si>
  <si>
    <t>2017 Federal  Personal Deduction</t>
  </si>
  <si>
    <t>Investment Growth Rate</t>
  </si>
  <si>
    <t>Inflation</t>
  </si>
  <si>
    <t>Roth Rollover</t>
  </si>
  <si>
    <t>Medicare IRMMA factors &amp; Costs</t>
  </si>
  <si>
    <t>Federal Indexing Inflation Factor</t>
  </si>
  <si>
    <t>Roth Start Year</t>
  </si>
  <si>
    <t>Roth Stop Year</t>
  </si>
  <si>
    <t>Target Spend</t>
  </si>
  <si>
    <t>Min Unqual</t>
  </si>
  <si>
    <t>Single Income Fraction</t>
  </si>
  <si>
    <t>Account Value At 95</t>
  </si>
  <si>
    <t>Max Spend</t>
  </si>
  <si>
    <t>ExploreGrowthInflation</t>
  </si>
  <si>
    <t>Group</t>
  </si>
  <si>
    <t>Unqualified Account Weight</t>
  </si>
  <si>
    <t>Qualified Account Weight</t>
  </si>
  <si>
    <t>ExploreSpend</t>
  </si>
  <si>
    <t>Min Total Adj. Value</t>
  </si>
  <si>
    <t xml:space="preserve">Scenario </t>
  </si>
  <si>
    <t>Adjusted Roth Balance</t>
  </si>
  <si>
    <t>Adjusted IRA Balance</t>
  </si>
  <si>
    <t>Realized Adjusted Value</t>
  </si>
  <si>
    <t>Qualified Factor</t>
  </si>
  <si>
    <t>Min Unqualified Balance</t>
  </si>
  <si>
    <t>Min Total Adjusted Balance</t>
  </si>
  <si>
    <t>Max Possible Spend to  95</t>
  </si>
  <si>
    <t>Adjusted Realized Value  At 85</t>
  </si>
  <si>
    <t>Adjusted Total Account Values  At 85</t>
  </si>
  <si>
    <t>Nominal Total Account Values At 85</t>
  </si>
  <si>
    <t>Adjusted Total Tax At 85</t>
  </si>
  <si>
    <t>Nominal Total Tax At 85</t>
  </si>
  <si>
    <t>Roth Strategy</t>
  </si>
  <si>
    <t>ReduceByRMDOnly</t>
  </si>
  <si>
    <t>Total Roth Roll-Over</t>
  </si>
  <si>
    <t>Adjusted Total Account Values  At 75</t>
  </si>
  <si>
    <t>Nominal Total Account Values At 75</t>
  </si>
  <si>
    <t>Adjusted Total Tax At 75</t>
  </si>
  <si>
    <t>Nominal Total Tax At 75</t>
  </si>
  <si>
    <t>Adjusted Realized Values  At 75</t>
  </si>
  <si>
    <t>Percent in Roth</t>
  </si>
  <si>
    <t>Percent in Roth At 85</t>
  </si>
  <si>
    <t>Percent in Roth At 75</t>
  </si>
  <si>
    <t>Total Funded RMD</t>
  </si>
  <si>
    <t>Declared Income on Non-Qualified Brokerage Account</t>
  </si>
  <si>
    <t>Post-TCJA Scenarios</t>
  </si>
  <si>
    <t>Historic</t>
  </si>
  <si>
    <t>Pessimistic</t>
  </si>
  <si>
    <t>After Tax (unqual) Brokerage Start Balance</t>
  </si>
  <si>
    <t>Working Income 2</t>
  </si>
  <si>
    <t>Last Year Working 2</t>
  </si>
  <si>
    <t>Potential Future Tax Rate Scenarios</t>
  </si>
  <si>
    <t>Rates</t>
  </si>
  <si>
    <t>Summary</t>
  </si>
  <si>
    <t>Total Tax</t>
  </si>
  <si>
    <t>TCJAHistoric</t>
  </si>
  <si>
    <t>PostTCJAHistoric</t>
  </si>
  <si>
    <t>PostTCJAOptimistic</t>
  </si>
  <si>
    <t>PostTCJAPessimistic</t>
  </si>
  <si>
    <t>Adjusted Spending</t>
  </si>
  <si>
    <t>Nominal Total Tax</t>
  </si>
  <si>
    <t>Adjusted Total Tax</t>
  </si>
  <si>
    <t>Max Marginal Tax Rate</t>
  </si>
  <si>
    <t>Tax Scenario</t>
  </si>
  <si>
    <t>TCJA-Extension</t>
  </si>
  <si>
    <t>Column</t>
  </si>
  <si>
    <t>Type</t>
  </si>
  <si>
    <t>Percent</t>
  </si>
  <si>
    <t>Money</t>
  </si>
  <si>
    <t>Other</t>
  </si>
  <si>
    <t>End of Year Balances</t>
  </si>
  <si>
    <t>Unqual Account Tax % at 85</t>
  </si>
  <si>
    <t>Unqual Account Tax % at 75</t>
  </si>
  <si>
    <t>Unqualified Account Growth Rate</t>
  </si>
  <si>
    <t>Partner 1</t>
  </si>
  <si>
    <t>Partner 2</t>
  </si>
  <si>
    <t>Social Security Commencement 1</t>
  </si>
  <si>
    <t>Social Security Commencement 2</t>
  </si>
  <si>
    <t>Birthday 1</t>
  </si>
  <si>
    <t>Birthday 2</t>
  </si>
  <si>
    <t>Pension Start 1</t>
  </si>
  <si>
    <t>Pension Start 2</t>
  </si>
  <si>
    <t>IRA 1</t>
  </si>
  <si>
    <t>IRA 2</t>
  </si>
  <si>
    <t>IRA Starting Balance 2</t>
  </si>
  <si>
    <t>RMD 1</t>
  </si>
  <si>
    <t>RMD 2</t>
  </si>
  <si>
    <t>Funded RMD 1</t>
  </si>
  <si>
    <t>Funded RMD 2</t>
  </si>
  <si>
    <t>SS 1</t>
  </si>
  <si>
    <t>SS 2</t>
  </si>
  <si>
    <t>Last Year Working 1</t>
  </si>
  <si>
    <t>Working Income 1</t>
  </si>
  <si>
    <t>Plan End</t>
  </si>
  <si>
    <t>Standard Deduction (Plan Start Year)</t>
  </si>
  <si>
    <t>Social Security "1" as of Plan Start Year</t>
  </si>
  <si>
    <t>Social Security "2" as of Plan Start Year</t>
  </si>
  <si>
    <t>Adjusted Realized Value  At Plan Age</t>
  </si>
  <si>
    <t>Adjusted Total Account Values  At Plan Age</t>
  </si>
  <si>
    <t>Nominal Total Account Values At Plan Age</t>
  </si>
  <si>
    <t>Adjusted Total Tax At Plan Age</t>
  </si>
  <si>
    <t>Unqual Account Tax % at Plan Age</t>
  </si>
  <si>
    <t>Max Marginal Tax Rate to Plan Age</t>
  </si>
  <si>
    <t>Percent in Roth At Plan Age</t>
  </si>
  <si>
    <t>ExploreFunding</t>
  </si>
  <si>
    <t>Roth Draw</t>
  </si>
  <si>
    <t>Unqual Growth Rate Factor</t>
  </si>
  <si>
    <t>Percent Gain Unrealized</t>
  </si>
  <si>
    <t>FICA factor for income 1</t>
  </si>
  <si>
    <t>FICA factor for income 2</t>
  </si>
  <si>
    <t>Variable Controls - Adjusted by Scenario Execution</t>
  </si>
  <si>
    <t>FICA TAX</t>
  </si>
  <si>
    <t>LTCG</t>
  </si>
  <si>
    <t>Fed LTGC Tax</t>
  </si>
  <si>
    <t>Adj Value Ref Column</t>
  </si>
  <si>
    <t>Adj SS Ref Column</t>
  </si>
  <si>
    <t>Sum Adj Value</t>
  </si>
  <si>
    <t>Sum Adj Tax</t>
  </si>
  <si>
    <t>Sum Adj SS</t>
  </si>
  <si>
    <t>Adj SS Baseline Variance</t>
  </si>
  <si>
    <t>Adjusted Unqual Balance</t>
  </si>
  <si>
    <t>Rollups (Inflation adjusted to plan start)</t>
  </si>
  <si>
    <t>Adj SS Break Even Year</t>
  </si>
  <si>
    <t>SSBE</t>
  </si>
  <si>
    <t>ExploreRothMechanism</t>
  </si>
  <si>
    <t>Adj Value Baseline Variance</t>
  </si>
  <si>
    <t>70,70</t>
  </si>
  <si>
    <t>SS Ages</t>
  </si>
  <si>
    <t>Sum Adjusted SS Payments</t>
  </si>
  <si>
    <t>Adjusted Total SS At Plan Age</t>
  </si>
  <si>
    <t>Adjusted Total SS At 85</t>
  </si>
  <si>
    <t>Adjusted Total SS At 75</t>
  </si>
  <si>
    <t>Provisional Income</t>
  </si>
  <si>
    <t>Taxable SS</t>
  </si>
  <si>
    <t>External Income before SS</t>
  </si>
  <si>
    <t>SS TH 1</t>
  </si>
  <si>
    <t>SS TH 2</t>
  </si>
  <si>
    <t>Req. Total RMD</t>
  </si>
  <si>
    <t>Comparision to Baseline</t>
  </si>
  <si>
    <t>Calender Year SS 1 Starts</t>
  </si>
  <si>
    <t>Calender Month SS 1 Starts</t>
  </si>
  <si>
    <t>Calender Year SS 2 Starts</t>
  </si>
  <si>
    <t>Calender Month SS 2 Starts</t>
  </si>
  <si>
    <t>Sum Nomimal SS Payments</t>
  </si>
  <si>
    <t>Nominal Total SS At Plan Age</t>
  </si>
  <si>
    <t>Nominal Total Tax At Plan Age</t>
  </si>
  <si>
    <t>Nominal Total SS At 85</t>
  </si>
  <si>
    <t>Nominal Total SS At 75</t>
  </si>
  <si>
    <t>Unqualified Savings</t>
  </si>
  <si>
    <t>AdjustedFlatRate</t>
  </si>
  <si>
    <t>Pension 1 Index fraction</t>
  </si>
  <si>
    <t>Pension 2 Index fraction</t>
  </si>
  <si>
    <t>Taxable income on Unqualified Account</t>
  </si>
  <si>
    <t>Plan End Age</t>
  </si>
  <si>
    <t>Avg Tax Rate</t>
  </si>
  <si>
    <t>Bracket 2 Base Tax</t>
  </si>
  <si>
    <t>Bracket 3 Base Tax</t>
  </si>
  <si>
    <t>Bracket 4 Base Tax</t>
  </si>
  <si>
    <t>Is Single?</t>
  </si>
  <si>
    <t>Indexed Brack1</t>
  </si>
  <si>
    <t>Indexed Brack2</t>
  </si>
  <si>
    <t>Indexed Brack3</t>
  </si>
  <si>
    <t>Indexed Brack4</t>
  </si>
  <si>
    <t>Indexed Brack5</t>
  </si>
  <si>
    <t xml:space="preserve">Marginal Federal  Rate </t>
  </si>
  <si>
    <t>Bracket 5 Base Tax</t>
  </si>
  <si>
    <t>Bracket 6 Base Tax</t>
  </si>
  <si>
    <t>Part D Multipler</t>
  </si>
  <si>
    <t>IRA 2 Draw</t>
  </si>
  <si>
    <t>IRA 1 Draw</t>
  </si>
  <si>
    <t>Adj Value Break Even Year</t>
  </si>
  <si>
    <t>FactorTable</t>
  </si>
  <si>
    <t>Calculated Control Parameters</t>
  </si>
  <si>
    <t>Percent of Unqualified Account that is Unrecognized</t>
  </si>
  <si>
    <t>Name Reference</t>
  </si>
  <si>
    <t>Block Type</t>
  </si>
  <si>
    <t>VariableParam</t>
  </si>
  <si>
    <t>AdjustParam</t>
  </si>
  <si>
    <t>Federal Tax Scheme</t>
  </si>
  <si>
    <t xml:space="preserve">Post 2025 Tax Scenario Column </t>
  </si>
  <si>
    <t>Post-2025</t>
  </si>
  <si>
    <t>Unqualified Growth Rate Factor</t>
  </si>
  <si>
    <t>Social Security Commencements</t>
  </si>
  <si>
    <t>Post 2025 Federal Taxable Income Rule</t>
  </si>
  <si>
    <t>UnQualified Account Value Weighting Factor</t>
  </si>
  <si>
    <t>Single Brac</t>
  </si>
  <si>
    <t>Single Rate</t>
  </si>
  <si>
    <t>Joint Brac</t>
  </si>
  <si>
    <t>Joint Rate</t>
  </si>
  <si>
    <t>State Bracket 1</t>
  </si>
  <si>
    <t>State Bracket 2</t>
  </si>
  <si>
    <t>State Bracket 3</t>
  </si>
  <si>
    <t>State Bracket 4</t>
  </si>
  <si>
    <t>State Bracket 5</t>
  </si>
  <si>
    <t>State Bracket 6</t>
  </si>
  <si>
    <t>State Bracket 7</t>
  </si>
  <si>
    <t>State Bracket 8</t>
  </si>
  <si>
    <t>State Bracket 9</t>
  </si>
  <si>
    <t>State Bracket 10</t>
  </si>
  <si>
    <t>State Bracket 11</t>
  </si>
  <si>
    <t>State Bracket 12</t>
  </si>
  <si>
    <t>State Taxable Income</t>
  </si>
  <si>
    <t>State 1</t>
  </si>
  <si>
    <t>State 2</t>
  </si>
  <si>
    <t>SS Taxed</t>
  </si>
  <si>
    <t>DIV-INT Taxed</t>
  </si>
  <si>
    <t>CAP Gains Taxed</t>
  </si>
  <si>
    <t>Indexed for Inflation</t>
  </si>
  <si>
    <t>State Income Tax Calcuation Controls</t>
  </si>
  <si>
    <t>Pension Income Taxed</t>
  </si>
  <si>
    <t>Wage &amp; Passive Income Taxed</t>
  </si>
  <si>
    <t>State Rate 1</t>
  </si>
  <si>
    <t>State Rate 2</t>
  </si>
  <si>
    <t>State Base 2</t>
  </si>
  <si>
    <t>State Base 3</t>
  </si>
  <si>
    <t>State Base 4</t>
  </si>
  <si>
    <t>State Rate 3</t>
  </si>
  <si>
    <t>State Base 5</t>
  </si>
  <si>
    <t>State Base 6</t>
  </si>
  <si>
    <t>State Base 7</t>
  </si>
  <si>
    <t>State Base 8</t>
  </si>
  <si>
    <t>State Base 9</t>
  </si>
  <si>
    <t>State Base 10</t>
  </si>
  <si>
    <t>State Base 11</t>
  </si>
  <si>
    <t>State Base 12</t>
  </si>
  <si>
    <t>State Rate 4</t>
  </si>
  <si>
    <t>State Rate 5</t>
  </si>
  <si>
    <t>State Rate 6</t>
  </si>
  <si>
    <t>State Rate 7</t>
  </si>
  <si>
    <t>State Rate 8</t>
  </si>
  <si>
    <t>State Rate 9</t>
  </si>
  <si>
    <t>State Rate 10</t>
  </si>
  <si>
    <t>State Rate 11</t>
  </si>
  <si>
    <t>State Rate 12</t>
  </si>
  <si>
    <t>In State 1?</t>
  </si>
  <si>
    <t>State Indexed?</t>
  </si>
  <si>
    <t>Single Filer</t>
  </si>
  <si>
    <t>Married Filing Jointly</t>
  </si>
  <si>
    <t>Standard Deduction</t>
  </si>
  <si>
    <t>Personal Exemption</t>
  </si>
  <si>
    <t>NOTES</t>
  </si>
  <si>
    <t>State</t>
  </si>
  <si>
    <t>Brackets</t>
  </si>
  <si>
    <t>Couple</t>
  </si>
  <si>
    <t>Dependent</t>
  </si>
  <si>
    <t>Ala.</t>
  </si>
  <si>
    <t>&gt;</t>
  </si>
  <si>
    <t>(a, b, c)</t>
  </si>
  <si>
    <t>Alaska</t>
  </si>
  <si>
    <t>none</t>
  </si>
  <si>
    <t>n.a.</t>
  </si>
  <si>
    <t>Ariz. (e, f, u)</t>
  </si>
  <si>
    <t>$100 credit</t>
  </si>
  <si>
    <t>Ark.</t>
  </si>
  <si>
    <t>$29 credit</t>
  </si>
  <si>
    <t>$58 credit</t>
  </si>
  <si>
    <t>(g, h, bb, ll)</t>
  </si>
  <si>
    <t>Calif.</t>
  </si>
  <si>
    <t>$144 credit</t>
  </si>
  <si>
    <t>$288 credit</t>
  </si>
  <si>
    <t>$446 credit</t>
  </si>
  <si>
    <t>(a, h, j, k, l, m, n, oo)</t>
  </si>
  <si>
    <t>Colo. (a, o)</t>
  </si>
  <si>
    <t>Conn.</t>
  </si>
  <si>
    <t>(i, p, q, r)</t>
  </si>
  <si>
    <t>Del.</t>
  </si>
  <si>
    <t>$110 credit</t>
  </si>
  <si>
    <t>$220 credit</t>
  </si>
  <si>
    <t>(a, h, m, s)</t>
  </si>
  <si>
    <t>Fla.</t>
  </si>
  <si>
    <t>Ga.</t>
  </si>
  <si>
    <t>Governor's proposal: accelerate the reduction to 5.39% in 2024</t>
  </si>
  <si>
    <t>Hawaii</t>
  </si>
  <si>
    <t>(m, t)</t>
  </si>
  <si>
    <t>Idaho (m, u)</t>
  </si>
  <si>
    <t>Bracket numbers for 2023</t>
  </si>
  <si>
    <t>Ill. (d, m, v)</t>
  </si>
  <si>
    <t>Ind. (a, m, w)</t>
  </si>
  <si>
    <t>Iowa</t>
  </si>
  <si>
    <t>$40 credit</t>
  </si>
  <si>
    <t>$80 credit</t>
  </si>
  <si>
    <t>Governor's proposal: transition to a flat rate of 3.65% retroactive to Jan 1, 2024</t>
  </si>
  <si>
    <t>(a, d, h)</t>
  </si>
  <si>
    <t xml:space="preserve">Kans. </t>
  </si>
  <si>
    <t>(a, m)</t>
  </si>
  <si>
    <t>Ky.</t>
  </si>
  <si>
    <t>(a, d)</t>
  </si>
  <si>
    <t>La.</t>
  </si>
  <si>
    <t>(x)</t>
  </si>
  <si>
    <t>Maine</t>
  </si>
  <si>
    <t>$300 credit</t>
  </si>
  <si>
    <t>(u, y, bb)</t>
  </si>
  <si>
    <t>Md.</t>
  </si>
  <si>
    <t>SD for 2023 is shown</t>
  </si>
  <si>
    <t>(a, m, n, z, aa)</t>
  </si>
  <si>
    <t>Mass.</t>
  </si>
  <si>
    <t>Mich. (a, d, n)</t>
  </si>
  <si>
    <t xml:space="preserve">Minn. </t>
  </si>
  <si>
    <t>(d, bb, cc, pp)</t>
  </si>
  <si>
    <t>Miss.</t>
  </si>
  <si>
    <t>Mo.</t>
  </si>
  <si>
    <t>n.a</t>
  </si>
  <si>
    <t>(a, b, j, m, u)</t>
  </si>
  <si>
    <t>Mont.</t>
  </si>
  <si>
    <t>(b, d, u, bb)</t>
  </si>
  <si>
    <t>Nebr.</t>
  </si>
  <si>
    <t>$157 credit</t>
  </si>
  <si>
    <t>$314 credit</t>
  </si>
  <si>
    <t>(d, h, m, bb)</t>
  </si>
  <si>
    <t>Nev.</t>
  </si>
  <si>
    <t>N.H. (dd)</t>
  </si>
  <si>
    <t>3% on interest and dividends only</t>
  </si>
  <si>
    <t xml:space="preserve">N.J. </t>
  </si>
  <si>
    <t>(a)</t>
  </si>
  <si>
    <t>N.M.</t>
  </si>
  <si>
    <t>(m, u, kk)</t>
  </si>
  <si>
    <t>N.Y.</t>
  </si>
  <si>
    <t>(a, i)</t>
  </si>
  <si>
    <t>N.C.</t>
  </si>
  <si>
    <t>N.D.</t>
  </si>
  <si>
    <t>(j, o, u)</t>
  </si>
  <si>
    <t>Ohio</t>
  </si>
  <si>
    <t>(a, j, n, ee)</t>
  </si>
  <si>
    <t xml:space="preserve">Okla. </t>
  </si>
  <si>
    <t>(m)</t>
  </si>
  <si>
    <t>Ore.</t>
  </si>
  <si>
    <t>$249 credit</t>
  </si>
  <si>
    <t>$498 credit</t>
  </si>
  <si>
    <t>(a, b, d, h, m, bb, ff, oo)</t>
  </si>
  <si>
    <t>Pa. (a)</t>
  </si>
  <si>
    <t>R.I.</t>
  </si>
  <si>
    <t>(d, bb, gg)</t>
  </si>
  <si>
    <t>S.C.</t>
  </si>
  <si>
    <t>$4,610 (o)</t>
  </si>
  <si>
    <t>Governor McMaster's budget assumes a cut of the top rate to 6.3%</t>
  </si>
  <si>
    <t>(d, o, u, bb)</t>
  </si>
  <si>
    <t>S.D.</t>
  </si>
  <si>
    <t>Tenn.</t>
  </si>
  <si>
    <t>Tex.</t>
  </si>
  <si>
    <t>Utah (d, h, hh)</t>
  </si>
  <si>
    <t>$876 credit</t>
  </si>
  <si>
    <t>$1,752 credit</t>
  </si>
  <si>
    <t>Vt.</t>
  </si>
  <si>
    <t>(j, n, ii, nn)</t>
  </si>
  <si>
    <t>Va.</t>
  </si>
  <si>
    <t>(m, mm)</t>
  </si>
  <si>
    <t>Wash.</t>
  </si>
  <si>
    <t>7.0% on capital gains income only</t>
  </si>
  <si>
    <t xml:space="preserve">W.Va. </t>
  </si>
  <si>
    <t>Wis.</t>
  </si>
  <si>
    <t>(d, m, bb, jj)</t>
  </si>
  <si>
    <t>Wyo.</t>
  </si>
  <si>
    <t>D.C.</t>
  </si>
  <si>
    <t>(u)</t>
  </si>
  <si>
    <t>(b) These states allow some or all of federal income tax paid to be deducted from state taxable income.</t>
  </si>
  <si>
    <t>(c) For single taxpayers with AGI below $25,999, the standard deduction is $3,000. This standard deduction amount is reduced by $25 for every additional $500 of AGI, not to fall below $2,500. For Married Filing Joint (MFJ) taxpayers with AGI below $25,999, the standard deduction is $8,500. This standard deduction amount is reduced by $175 for every additional $500 of AGI, not to fall below $5,000. For all taxpayers with AGI of $50,000 or less and claiming a dependent, the dependent exemption is $1,000. This amount is reduced to $500 per dependent for taxpayers with AGI above $50,000 and equal to or less than $100,000. For taxpayers with more than $100,000 in AGI, the dependent exemption is $300 per dependent.</t>
  </si>
  <si>
    <t>(d) Standard deduction and/or personal exemption is adjusted annually for inflation. Inflation-adjusted amounts for tax year 2024 are shown.</t>
  </si>
  <si>
    <t>(e) Arizona's standard deduction can be adjusted upward by an amount equal to 31 percent of the amount the taxpayer would have claimed in charitable deductions if the taxpayer had claimed itemized deductions.</t>
  </si>
  <si>
    <t>(f) In lieu of a dependent exemption, Arizona offers a dependent tax credit of $100 per dependent under the age of 17 and $25 per dependent age 17 and older. The credit begins to phase out for taxpayers with federal adjusted gross income (FAGI) above $200,000 (single filers) or $400,000 (MFJ).</t>
  </si>
  <si>
    <t xml:space="preserve">(g) Rates apply to individuals earning more than $87,000. A separate tax tables exist for individuals earning $87,000 or less, with rates of 2 percent on income greater than or equal to $5,300; 3 percent on income greater than or equal to $10,600; 3.4 percent on income greater than or equal to $15,100; and 4.4 percent on income greater than $25,000 but less than or equal to $87,000. </t>
  </si>
  <si>
    <t>(h) Standard deduction or personal exemption is structured as a tax credit.</t>
  </si>
  <si>
    <t>(i) Connecticut and New York have "tax benefit recapture," by which many high-income taxpayers pay their top tax rate on all income, not just on amounts above the benefit threshold.</t>
  </si>
  <si>
    <t>(j) Bracket levels adjusted for inflation each year. Inflation-adjusted bracket widths for 2024 were not available as of publication, so table reflects 2023 inflation-adjusted bracket widths.</t>
  </si>
  <si>
    <t>(k) Exemption credits phase out for single taxpayers by $6 for each $2,500 of federal AGI above $237,035 and for MFJ filers by $12 for each $2,500 of federal AGI above $474,075. The credit cannot be reduced to below zero.</t>
  </si>
  <si>
    <t>(l) Rates include the additional mental health services tax at the rate of 1 percent on taxable income in excess of $1 million. Rates exclude a payroll tax of 1.1 percent to fund the state’s disability insurance program. As of 2024, there is no wage ceiling for this payroll tax, which means that the state’s top individual income tax rate on wage income becomes 14.4 percent.</t>
  </si>
  <si>
    <t>(m) State provides a state-defined personal exemption amount for each exemption available and/or deductible under the Internal Revenue Code. Under the Tax Cuts and Jobs Act, the personal exemption is set at $0 until 2026 but not eliminated. Because it is still available, these state-defined personal exemptions remain available in some states but are set to $0 in other states.</t>
  </si>
  <si>
    <t>(n) Standard deduction and/or personal exemption adjusted annually for inflation, but the 2024 inflation adjustment was not available at time of publication, so table reflects actual 2023 amount(s).</t>
  </si>
  <si>
    <t>(o) Colorado, Montana, New Mexico, North Dakota, and South Carolina include the federal standard deduction in their income starting point.</t>
  </si>
  <si>
    <t>(p) Connecticut has a complex set of phaseout provisions. For each single taxpayer whose Connecticut AGI exceeds $56,500, the amount of the taxpayer's Connecticut taxable income to which the 2 percent tax rate applies shall be reduced by $1,000 for each $5,000, or fraction thereof, by which the taxpayer's Connecticut AGI exceeds said amount. Any such amount will have a tax rate of 4.5 percent instead of 2 percent. Each single taxpayer whose Connecticut AGI exceeds $105,000 shall pay an amount equal to $25 for each $5,000, or fraction thereof, by which the taxpayer's Connecticut AGI exceeds $105,000, up to a maximum payment of $250. Additionally, each single taxpayer whose Connecticut AGI exceeds $200,000 shall pay an amount equal to $90 for each $5,000, or fraction thereof, by which the taxpayer's Connecticut AGI exceeds $200,000 but is less than $500,000, and by an additional $50 for each $5,000, or fraction thereof, by which the taxpayer’s AGI exceeds $500,000, up to a maximum payment of $3,150. For each MFJ taxpayer whose Connecticut AGI exceeds $100,500, the amount of the taxpayer's Connecticut taxable income to which the 2 percent tax rate applies shall be reduced by $2,000 for each $5,000, or fraction thereof, by which the taxpayer's Connecticut AGI exceeds said amount. Any such amount of Connecticut taxable income to which, as provided in the preceding sentence, the 2 percent tax rate does not apply shall be an amount to which the 4.5 percent tax rate shall apply. Each MFJ whose Connecticut AGI exceeds $210,000 shall pay an amount equal to $50 for each $10,000, or fraction thereof, by which the taxpayer's Connecticut AGI exceeds $210,000, up to a maximum payment of $500. Additionally, each MFJ taxpayer whose Connecticut AGI exceeds $400,000 shall pay, in addition to the amount above, an amount equal to $180 for each $10,000, or fraction thereof, by which the taxpayer's Connecticut AGI exceeds $400,000, up to a maximum of $5,400, and a further $100 for each $10,000, or fraction thereof, by which Connecticut AGI exceeds $1 million, up to a combined maximum payment of $6,300.</t>
  </si>
  <si>
    <t>(q) Connecticut taxpayers are also given personal tax credits (1-75%) based upon adjusted gross income.</t>
  </si>
  <si>
    <t>(r) Connecticut's personal exemption phases out by $1,000 for each $1,000, or fraction thereof, by which a single filer's Connecticut AGI exceeds $30,000 and a MFJ filer's Connecticut AGI exceeds $48,000.</t>
  </si>
  <si>
    <t>(s) In addition to the personal income tax rates, Delaware imposes a tax on lump-sum distributions.</t>
  </si>
  <si>
    <t>(t) Additionally, Hawaii allows any taxpayer, other than a corporation, acting as a business entity in more than one state and required by law to file a return, to report and pay a tax of 0.5 percent of its annual gross sales (1) where the taxpayer's only activities in Hawaii consist of sales, (2) when the taxpayer does not own or rent real estate or tangible personal property, and (3) when the taxpayer’s annual gross sales in or into Hawaii do not exceed $100,000. Haw. Rev. Stat. § 235-51 (2015).</t>
  </si>
  <si>
    <t xml:space="preserve">(u) Deduction and/or exemption tied to federal tax system. Federal deductions and exemptions are indexed for inflation, and where applicable, the tax year 2024 inflation-adjusted amounts are shown. </t>
  </si>
  <si>
    <t>(v) As of June 1, 2017, taxpayers cannot claim the personal exemption if their adjusted gross income exceeds $250,000 (single filers) or $500,000 (MFJ).</t>
  </si>
  <si>
    <t>(w) $1,000 is a base exemption. If dependents meet certain conditions, filers can take an additional $1,500 exemption for each. If a taxpayer is claiming a child as a dependent for the first taxable year in which the exemption is allowed, the taxpayer is now permitted to claim an amount of $3,000, instead of $1,500.</t>
  </si>
  <si>
    <t>(x) Standard deduction and personal exemptions are combined: $4,500 for single and married filing separately; $9,000 MFJ and head of household.</t>
  </si>
  <si>
    <t>(y) Maine's personal exemption begins to phase out for taxpayers with income exceeding $305,150 (single filers) or $366,100 (MFJ). The standard deduction amounts for 2024 are phased out for taxpayers with Maine income over $97,150 (single filers) or $194,300 (MFJ). The dependent personal exemption is structured as a tax credit and begins to phase out for taxpayers with income exceeding $200,000 (head of household) or $400,000 (married filing jointly).</t>
  </si>
  <si>
    <t>(z) The standard deduction is 15 percent of income with a minimum of $1,700 and a cap of $2,550 for single filers and married filing separately filers. The standard deduction is a minimum of $3,450 and capped at $5,150 for MFJ filers, head of household filers, and qualifying surviving spouses. The minimum and maximum standard deduction amounts are adjusted annually for inflation. 2024 inflation-adjusted amounts were not announced as of publication, so 2023 inflation-adjusted amounts are shown.</t>
  </si>
  <si>
    <t>(aa) The exemption amount has the following phaseout schedule: If AGI is above $100,000 for single filers and above $150,000 for married filers, the $3,200 exemption begins to be phased out. If AGI is above $150,000 for single filers and above $200,000 for married filers, the exemption is phased out entirely.</t>
  </si>
  <si>
    <t xml:space="preserve">(bb) Bracket levels adjusted for inflation each year. Inflation-adjusted bracket levels for 2024 are shown. </t>
  </si>
  <si>
    <t xml:space="preserve">(cc) For taxpayers whose AGI exceeds $116,250 (married filing separately) or $232,500 (all other filers), Minnesota’s standard deduction is reduced by the lesser of 3 percent of the excess of the taxpayer’s federal AGI over the applicable amount or 80 percent of the standard deduction otherwise allowable. </t>
  </si>
  <si>
    <t>(dd) Applies to interest and dividend income only.</t>
  </si>
  <si>
    <t>(ee) Ohio's personal exemption is $2,400 for an AGI of $40,000 or less, $2,150 if AGI is more than $40,000 but less than or equal to $80,000, and $1,900 if AGI is greater than $80,000. Ohio's dependent exemption for children under the age of 18 is $2,500.</t>
  </si>
  <si>
    <t>(ff) The personal exemption credit is not allowed if federal AGI exceeds $100,000 for single filers or $200,000 for MFJ.</t>
  </si>
  <si>
    <t>(gg) The phaseout range for the standard deduction, personal exemption, and dependency exemption is $246,450 to $274,650. For taxpayers with modified Federal AGI exceeding $274,650, no standard deduction, personal exemption, or dependency exemption is available.</t>
  </si>
  <si>
    <t>(hh) The standard deduction is taken in the form of a nonrefundable credit of 6 percent of the federal standard or itemized deduction amount, excluding the deduction for state or local income tax. This credit phases out at 1.3 cents per dollar of AGI above $16,742 ($33,484 for MFJ).</t>
  </si>
  <si>
    <t>(ii) For taxpayers with federal AGI that exceeds $150,000, the taxpayer will pay the greater of state income tax or 3 percent of federal AGI.</t>
  </si>
  <si>
    <t>(jj) The standard deduction begins to phase out at $19,069 in income for single filers and $27,519 in income for joint filers. The standard deduction phases out to zero at $129,319 for single filers and $151,344 for joint filers.</t>
  </si>
  <si>
    <t>(kk) In lieu of the suspended personal exemption, New Mexico offers a deduction of $4,000 for all but one of a taxpayer’s dependents.</t>
  </si>
  <si>
    <t xml:space="preserve">(ll) Taxpayers with net income greater than or equal to $87,000 but not greater than $90,800 shall reduce the amount of tax due by deducting a bracket adjustment amount.  The bracket adjustment amount starts at $380 for individuals with net income of $87,001 and decreases by $10 for every $100 in additional net income. </t>
  </si>
  <si>
    <t>(mm) The standard deduction for 2024 will be $8,500 for single taxpayers and $17,000 for MFJ taxpayers if certain revenue growth projections are met.</t>
  </si>
  <si>
    <t>(nn) Taxpayers also receive an additional deduction of $1,050 for each standard deduction box checked on federal Form 1040.</t>
  </si>
  <si>
    <t>(oo) California and Oregon do not fully index their top brackets.</t>
  </si>
  <si>
    <t>(pp) Minnesota imposes a surtax on individuals, estates, and trusts equal to 1% of net investment income over $1 million.</t>
  </si>
  <si>
    <t>Ala</t>
  </si>
  <si>
    <t>Ariz</t>
  </si>
  <si>
    <t>Ark</t>
  </si>
  <si>
    <t>CA</t>
  </si>
  <si>
    <t>Raw State Rates</t>
  </si>
  <si>
    <t>Col</t>
  </si>
  <si>
    <t>Conn</t>
  </si>
  <si>
    <t>Del</t>
  </si>
  <si>
    <t>FL</t>
  </si>
  <si>
    <t>GA</t>
  </si>
  <si>
    <t>Haw</t>
  </si>
  <si>
    <t>Idaho</t>
  </si>
  <si>
    <t>Ind</t>
  </si>
  <si>
    <t>Adjusted Rates</t>
  </si>
  <si>
    <t>Illinios</t>
  </si>
  <si>
    <t>Kans</t>
  </si>
  <si>
    <t>Ky</t>
  </si>
  <si>
    <t>LA</t>
  </si>
  <si>
    <t>MD</t>
  </si>
  <si>
    <t>MA</t>
  </si>
  <si>
    <t>Mich</t>
  </si>
  <si>
    <t>Min</t>
  </si>
  <si>
    <t>Miss</t>
  </si>
  <si>
    <t>Mo</t>
  </si>
  <si>
    <t>Mont</t>
  </si>
  <si>
    <t>Nebr</t>
  </si>
  <si>
    <t>Nev</t>
  </si>
  <si>
    <t>NH</t>
  </si>
  <si>
    <t>NJ</t>
  </si>
  <si>
    <t>NM</t>
  </si>
  <si>
    <t>NY</t>
  </si>
  <si>
    <t>ND</t>
  </si>
  <si>
    <t>OH</t>
  </si>
  <si>
    <t>Okla</t>
  </si>
  <si>
    <t>Ore</t>
  </si>
  <si>
    <t>PA</t>
  </si>
  <si>
    <t>RI</t>
  </si>
  <si>
    <t>SD</t>
  </si>
  <si>
    <t>SC</t>
  </si>
  <si>
    <t>Tenn</t>
  </si>
  <si>
    <t>TX</t>
  </si>
  <si>
    <t>Utah</t>
  </si>
  <si>
    <t>VT</t>
  </si>
  <si>
    <t>VA</t>
  </si>
  <si>
    <t>Wash</t>
  </si>
  <si>
    <t>WVA</t>
  </si>
  <si>
    <t>Wisc</t>
  </si>
  <si>
    <t>Wyo</t>
  </si>
  <si>
    <t>DC</t>
  </si>
  <si>
    <t>Local Tax Adjustments</t>
  </si>
  <si>
    <t>0 outside of NYC. NYC ranges from 3.078 to 3.812 @ 45K AGI</t>
  </si>
  <si>
    <t>NC</t>
  </si>
  <si>
    <t>Single Std Ded</t>
  </si>
  <si>
    <t>Joint Std Ded</t>
  </si>
  <si>
    <t>Pension Taxed</t>
  </si>
  <si>
    <t>Wages &amp; Psv</t>
  </si>
  <si>
    <t>Div &amp; Int</t>
  </si>
  <si>
    <t>Cap Gains</t>
  </si>
  <si>
    <t>Single Ex.</t>
  </si>
  <si>
    <t>Joint Ex.</t>
  </si>
  <si>
    <t>Single Cr.</t>
  </si>
  <si>
    <t>Joint Cr.</t>
  </si>
  <si>
    <t>IRA's not taxed after 65</t>
  </si>
  <si>
    <t>Complicated phase-in rules, with special retirement deduction &amp; SS not taxed after 65</t>
  </si>
  <si>
    <t>Retirement income is exempt up to 100K AGI</t>
  </si>
  <si>
    <t>Single Ret Ex</t>
  </si>
  <si>
    <t>Joint Ret Ex</t>
  </si>
  <si>
    <t>IRA Taxed</t>
  </si>
  <si>
    <t>SS is taxed for AGI  $75K</t>
  </si>
  <si>
    <t>Maine has a 30K exclusion for just pensions, but this is reduced by taxable SS</t>
  </si>
  <si>
    <t>Maryland has a 39K exclusion for just pensions, but this is reduced by taxable SS</t>
  </si>
  <si>
    <t>Michigan is starting a retirment excemption for all in 2026</t>
  </si>
  <si>
    <t>Min phases in tax on SS starting at Joint AGI of 105K. Fully taxed at 145K</t>
  </si>
  <si>
    <t xml:space="preserve">Miss tax rate declines to 4.0% by 2026. </t>
  </si>
  <si>
    <t>First 20K of SS is tax free up to age 64. After that it is all tax free</t>
  </si>
  <si>
    <t>NJ Has a % pension exclusion that phases out between 100K and 150K Joint AGI</t>
  </si>
  <si>
    <t>NM has a means tested retirement exception of 16K Joint that phases out between 31K and 51K. Also a means tested SS exemption that is all or nothing at 100K single and 150K Joint</t>
  </si>
  <si>
    <t>The NY Pension exclusion starts at 59 1/2</t>
  </si>
  <si>
    <t>RI has a 15K exclusion for Retirement income that is income tested at 109K Joint</t>
  </si>
  <si>
    <t>Utah has a means tested credit that disapears around $130K Joint. There is also a means tested retirement credit that goes away by 42K Joint</t>
  </si>
  <si>
    <t>VT has a means-tested adjustment that reduces SS tax. This starts to phase out at $65K Joint</t>
  </si>
  <si>
    <t>Virginia has a 12 retirement excemption that starts to phase out at $87K oint</t>
  </si>
  <si>
    <t>(a) Local income taxes are excluded. Eleven states have county- or city-level income ta+A222xes; the average rates expressed as a percentage of AGI within each jurisdiction are: AL--0.10%; DE--0.16%; IN--0.62%; IA--0.11%; KY--1.33%; MD--2+A222.40%; MI--0.17%; MO--0.22%; NY--1.63%; OH--1.57%; PA--1.23%. In CA, CO, KS, NJ, OR, and WV some jurisdictions have payroll taxes, flat-rate wage taxes, or interest and dividend income taxes. See Jared Walczak, Janelle Fritts, and Maxwell James, “Local Income Taxes: A Primer,” Tax Foundation, February 23, 2023, https://taxfoundation.org/local-income-taxes-2023/.</t>
  </si>
  <si>
    <t>Indexed?</t>
  </si>
  <si>
    <t>Standard Joint Deduction/Exemption</t>
  </si>
  <si>
    <t>Individual Credit</t>
  </si>
  <si>
    <t>Individual Retirement Income Exemption</t>
  </si>
  <si>
    <t xml:space="preserve"> % SS Taxed</t>
  </si>
  <si>
    <t>Total Pension Income</t>
  </si>
  <si>
    <t>State D&amp;I Income</t>
  </si>
  <si>
    <t>State Wage Income</t>
  </si>
  <si>
    <t>State Pension Income</t>
  </si>
  <si>
    <t>State IRA Income</t>
  </si>
  <si>
    <t>State SS Income</t>
  </si>
  <si>
    <t>State Income Calculations</t>
  </si>
  <si>
    <t>State LTCG Income</t>
  </si>
  <si>
    <t>This sheet captures state income tax information from : https://taxfoundation.org/data/all/state/state-income-tax-rates-2024/
Additional resources include:
https://www.kiplinger.com/retirement/602202/taxes-in-retirement-how-all-50-states-tax-retirees
https://www.nerdwallet.com/article/investing/social-security/which-states-tax-social-security-benefits
https://www.hoover.org/research/index-state-tax-brackets-now
These internet source should be used with caution. Download individual state forms and instructions for a more accurate view.</t>
  </si>
  <si>
    <t>Leave State 1 Year</t>
  </si>
  <si>
    <t>BE Info</t>
  </si>
  <si>
    <t>Last Year In State 1</t>
  </si>
  <si>
    <t>Baseline State Deduction</t>
  </si>
  <si>
    <t>Indexed State Deduction</t>
  </si>
  <si>
    <t>Indexed State Bracket 2</t>
  </si>
  <si>
    <t>Indexed State Bracket 5</t>
  </si>
  <si>
    <t>Indexed State Bracket 6</t>
  </si>
  <si>
    <t>Indexed State Bracket 7</t>
  </si>
  <si>
    <t>Indexed State Bracket 4</t>
  </si>
  <si>
    <t>Indexed State Bracket 3</t>
  </si>
  <si>
    <t>Indexed State Bracket 9</t>
  </si>
  <si>
    <t>Indexed State Bracket 8</t>
  </si>
  <si>
    <t>Indexed State Bracket 10</t>
  </si>
  <si>
    <t>Indexed State Bracket 11</t>
  </si>
  <si>
    <t>Indexed State Bracket 12</t>
  </si>
  <si>
    <t>Indexed State Bracket 1</t>
  </si>
  <si>
    <t>Total Roth Conv.</t>
  </si>
  <si>
    <t>Taxable Income for Growth</t>
  </si>
  <si>
    <t>Roth Conv 1</t>
  </si>
  <si>
    <t>Roth Conv 2</t>
  </si>
  <si>
    <t>IRA Total Draw</t>
  </si>
  <si>
    <t>Total Qualified Balance</t>
  </si>
  <si>
    <t>Total Wage Income</t>
  </si>
  <si>
    <t xml:space="preserve"> Federal Income</t>
  </si>
  <si>
    <t>Sum of Adj Income</t>
  </si>
  <si>
    <t>Other Downstream</t>
  </si>
  <si>
    <t>Sums over Time</t>
  </si>
  <si>
    <t>UnQual Brokerage Draw</t>
  </si>
  <si>
    <t>Weighted &amp; adjusted Total Balance</t>
  </si>
  <si>
    <t>Total Qual Acnt Income</t>
  </si>
  <si>
    <t>Wages 1</t>
  </si>
  <si>
    <t>Wages 2</t>
  </si>
  <si>
    <t>Withdrawl Rate</t>
  </si>
  <si>
    <t>Indexed State Credit</t>
  </si>
  <si>
    <t>Baseline State Credit</t>
  </si>
  <si>
    <t>Workbook Data</t>
  </si>
  <si>
    <t>Federal Inflation indexing Factor</t>
  </si>
  <si>
    <t>IRA Starting Balance 1</t>
  </si>
  <si>
    <t>Standard Single Deduction/Exemption</t>
  </si>
  <si>
    <t>Row Iteration Summary Log</t>
  </si>
  <si>
    <t>Spending Calculation Log</t>
  </si>
  <si>
    <t>Performance Summary Log</t>
  </si>
  <si>
    <t>Max Spending Log</t>
  </si>
  <si>
    <t>Logging Control</t>
  </si>
  <si>
    <t>Total Investment Income</t>
  </si>
  <si>
    <t>NII Taxable Income</t>
  </si>
  <si>
    <t>NII Tax</t>
  </si>
  <si>
    <t>State Inv Income Fraction</t>
  </si>
  <si>
    <t>State Inv Income Tax</t>
  </si>
  <si>
    <t>Ordinary Federal Tax</t>
  </si>
  <si>
    <t>Total Federal Tax</t>
  </si>
  <si>
    <t>Adj Invest Income Tax</t>
  </si>
  <si>
    <t>Roth Conversion Target Value</t>
  </si>
  <si>
    <t>First Roth Conversion Year</t>
  </si>
  <si>
    <t>Last Roth Conversion Year</t>
  </si>
  <si>
    <t>Roth Calculation Mode</t>
  </si>
  <si>
    <t>Optimize</t>
  </si>
  <si>
    <t>Explicit</t>
  </si>
  <si>
    <t>Maximum</t>
  </si>
  <si>
    <t>Social Security Break-Even Summary</t>
  </si>
  <si>
    <t>Roth Conv Mode</t>
  </si>
  <si>
    <t>Roth Conversion Value</t>
  </si>
  <si>
    <t>OptimizeRoth</t>
  </si>
  <si>
    <t>Zero</t>
  </si>
  <si>
    <t>Scenario:</t>
  </si>
  <si>
    <t>Inflation Adjusted Spending</t>
  </si>
  <si>
    <t>State Marginal Rate</t>
  </si>
  <si>
    <t>Pension 1 Survivorship</t>
  </si>
  <si>
    <t>Pension 2 Survivorship</t>
  </si>
  <si>
    <t>HalfOptimized</t>
  </si>
  <si>
    <t>Roth Opt Ref Row</t>
  </si>
  <si>
    <t>Percent Assets  Improved by Opt Roth At 95</t>
  </si>
  <si>
    <t>Percent Assets  Improved by Opt Roth At 85</t>
  </si>
  <si>
    <t>IRA Valuation Base Weighting Factor</t>
  </si>
  <si>
    <t>IRA Valuation Variable Weighting Factor</t>
  </si>
  <si>
    <t>IRA Valuation Weighting Factors</t>
  </si>
  <si>
    <t>Age 90</t>
  </si>
  <si>
    <t>Adjusted Realized Value  At 90</t>
  </si>
  <si>
    <t>Adjusted Total Account Values  At 90</t>
  </si>
  <si>
    <t>Nominal Total Account Values At 90</t>
  </si>
  <si>
    <t>Nominal Total SS At 90</t>
  </si>
  <si>
    <t>Adjusted Total SS At 90</t>
  </si>
  <si>
    <t>Adjusted Total Tax At 90</t>
  </si>
  <si>
    <t>Nominal Total Tax At 90</t>
  </si>
  <si>
    <t>Unqual Account Tax % at 90</t>
  </si>
  <si>
    <t>Percent in Roth At 90</t>
  </si>
  <si>
    <t>Percent Assets  Improved by Opt Roth At 90</t>
  </si>
  <si>
    <t>Roth Optimization Log</t>
  </si>
  <si>
    <t>Analysis Tools</t>
  </si>
  <si>
    <t>Set-Spend Precision</t>
  </si>
  <si>
    <t>Max Spend Precision</t>
  </si>
  <si>
    <t>Execution Time Estimation</t>
  </si>
  <si>
    <t>Roth Optimization Increment</t>
  </si>
  <si>
    <t>Roth Optimization Factor</t>
  </si>
  <si>
    <t>Roth Max Factor</t>
  </si>
  <si>
    <t>Max Spend Factor</t>
  </si>
  <si>
    <t>Spending Heuristics</t>
  </si>
  <si>
    <t>Maximize</t>
  </si>
  <si>
    <t>Model Solution Controls</t>
  </si>
  <si>
    <t>Name of the State Tax Information Worksheet</t>
  </si>
  <si>
    <t>StateNames</t>
  </si>
  <si>
    <t>Time Per Solution Core</t>
  </si>
  <si>
    <t>Spending Calculation Mode</t>
  </si>
  <si>
    <t>MaxSpending</t>
  </si>
  <si>
    <t xml:space="preserve">Spending Definition Mode </t>
  </si>
  <si>
    <t>OptAvoidIRMAA2</t>
  </si>
  <si>
    <t>OptAvoidIRMAA3</t>
  </si>
  <si>
    <t>ModelRothConvMode</t>
  </si>
  <si>
    <t>ModelSpendingMode</t>
  </si>
  <si>
    <t>ModelGrowthRate</t>
  </si>
  <si>
    <t>ModelUnqualIncomeFactor</t>
  </si>
  <si>
    <t>ModelFedInflationIndexFactor</t>
  </si>
  <si>
    <t>ModelInflation</t>
  </si>
  <si>
    <t>ModelPlanAge1</t>
  </si>
  <si>
    <t>ModelPlanAge2</t>
  </si>
  <si>
    <t>ModelUnqualWeightFactor</t>
  </si>
  <si>
    <t>ModelIRAWeight</t>
  </si>
  <si>
    <t>ModelLeaveState1Year</t>
  </si>
  <si>
    <t>ModelUnqualifiedGrowthRateFactor</t>
  </si>
  <si>
    <t>ModelSingleIncomeFraction</t>
  </si>
  <si>
    <t>ModelRothStartYear</t>
  </si>
  <si>
    <t>ModelRothStopYear</t>
  </si>
  <si>
    <t>ModelTargetSpend</t>
  </si>
  <si>
    <t>ModelMinUnQualBal</t>
  </si>
  <si>
    <t>ModelQualFactor</t>
  </si>
  <si>
    <t>ModelMinTotalAdjValue</t>
  </si>
  <si>
    <t>ModelFederalTaxScheme</t>
  </si>
  <si>
    <t>ModelRothStrategy</t>
  </si>
  <si>
    <t>ModelUnQualUnReq</t>
  </si>
  <si>
    <t>ModelRothConvValue</t>
  </si>
  <si>
    <t>ModelState1Name</t>
  </si>
  <si>
    <t>ModelState2Name</t>
  </si>
  <si>
    <t>ModelSolutionControls</t>
  </si>
  <si>
    <t>ModelVarParameters</t>
  </si>
  <si>
    <t>ModelFixedParameters</t>
  </si>
  <si>
    <t>ModelSS1</t>
  </si>
  <si>
    <t>ModelSS2</t>
  </si>
  <si>
    <t>Single Brac.</t>
  </si>
  <si>
    <t>Joint Brac .</t>
  </si>
  <si>
    <t>Co</t>
  </si>
  <si>
    <t>OR</t>
  </si>
  <si>
    <t>Wva</t>
  </si>
  <si>
    <t>Selector 2</t>
  </si>
  <si>
    <t>StateTaxLocalRateAdj</t>
  </si>
  <si>
    <t>Fraction</t>
  </si>
  <si>
    <t>Age</t>
  </si>
  <si>
    <t>RMD's</t>
  </si>
  <si>
    <t>Federal Tax Rates</t>
  </si>
  <si>
    <t>RMD Age 2</t>
  </si>
  <si>
    <t>RMD Age 1</t>
  </si>
  <si>
    <t>Worksheet Reference Info</t>
  </si>
  <si>
    <t>Est 2026 Deductions Before State Income Tax</t>
  </si>
  <si>
    <t>Baseline Medicare Part B Premium</t>
  </si>
  <si>
    <t>Baseline Sum Adj SS</t>
  </si>
  <si>
    <t>Baseline Sum Adj Value</t>
  </si>
  <si>
    <t>IRA Value Weightng Factor</t>
  </si>
  <si>
    <t xml:space="preserve">Baseline Values </t>
  </si>
  <si>
    <t>ModelSSCommencements</t>
  </si>
  <si>
    <t>Block</t>
  </si>
  <si>
    <t>Selector 1</t>
  </si>
  <si>
    <t>Profile 1</t>
  </si>
  <si>
    <t>ModelStateNames</t>
  </si>
  <si>
    <t>ModelPersonalDeduction</t>
  </si>
  <si>
    <t>ModelStandardDeduction</t>
  </si>
  <si>
    <t>ModelMedicarePartB</t>
  </si>
  <si>
    <t>ModelUnqualStart</t>
  </si>
  <si>
    <t>ModelIRA1Start</t>
  </si>
  <si>
    <t>ModelIRA2Start</t>
  </si>
  <si>
    <t>ModelRothStart</t>
  </si>
  <si>
    <t>ModelFedDedBeforeStateIncomeTax</t>
  </si>
  <si>
    <t>ModelWork1</t>
  </si>
  <si>
    <t>ModelLastYearWork1</t>
  </si>
  <si>
    <t>ModelWork2</t>
  </si>
  <si>
    <t>ModelLastYearWork2</t>
  </si>
  <si>
    <t>ModelPension1</t>
  </si>
  <si>
    <t>ModelPensionStart1</t>
  </si>
  <si>
    <t>ModelPension2</t>
  </si>
  <si>
    <t>ModelPensionStart2</t>
  </si>
  <si>
    <t>ModelBirthday1</t>
  </si>
  <si>
    <t>ModelBirthday2</t>
  </si>
  <si>
    <t>ModelPlanStart</t>
  </si>
  <si>
    <t>ModelBaselineYear</t>
  </si>
  <si>
    <t>ModelFICAFactor1</t>
  </si>
  <si>
    <t>ModelFICAFactor2</t>
  </si>
  <si>
    <t>ModelPensionIndexFrac1</t>
  </si>
  <si>
    <t>ModelPensionIndexFrac2</t>
  </si>
  <si>
    <t>ModelPensionSurvivorship1</t>
  </si>
  <si>
    <t>ModelPensionSurvivorship2</t>
  </si>
  <si>
    <t>ModelFutureTaxRateTable</t>
  </si>
  <si>
    <t>Other Recording</t>
  </si>
  <si>
    <t>Weighted &amp; Adjusted Total</t>
  </si>
  <si>
    <t>Unqual Acnt Tax Percent</t>
  </si>
  <si>
    <t xml:space="preserve"> Unweighted Adjusted Total</t>
  </si>
  <si>
    <t>Count of Value Neg. Years</t>
  </si>
  <si>
    <t>Count of SS Neg. Years</t>
  </si>
  <si>
    <t>Adj. Value Break-Even Year</t>
  </si>
  <si>
    <t>Adj. SS Break-Even Year</t>
  </si>
  <si>
    <t>Actual Roth Conv. Value</t>
  </si>
  <si>
    <t>Optimial Roth Conv. Value</t>
  </si>
  <si>
    <t>Column Totals</t>
  </si>
  <si>
    <t>Nominal Total</t>
  </si>
  <si>
    <t>Qualified Draw Fraction</t>
  </si>
  <si>
    <t xml:space="preserve">Single Spend Fraction </t>
  </si>
  <si>
    <t>Opt.</t>
  </si>
  <si>
    <t>Reference Column for Adjusted Total Value</t>
  </si>
  <si>
    <t>Reference Column for Adjusted SS Value</t>
  </si>
  <si>
    <t>Fixed Controls - Constant across Retirement Scenarios</t>
  </si>
  <si>
    <t>Profile 2</t>
  </si>
  <si>
    <t>62,62</t>
  </si>
  <si>
    <t>70,62</t>
  </si>
  <si>
    <t>70,67</t>
  </si>
  <si>
    <t>Utility table to estimate SS payments give Age 67 value</t>
  </si>
  <si>
    <t>Is Original TCJA?</t>
  </si>
  <si>
    <t>Is Post TCJA Rules?</t>
  </si>
  <si>
    <t>First Year of new Federal Tax Law</t>
  </si>
  <si>
    <t>67,62</t>
  </si>
  <si>
    <t>67,67</t>
  </si>
  <si>
    <t>Fed Ded</t>
  </si>
  <si>
    <t>Post TCJA Fed Ded</t>
  </si>
  <si>
    <t>TCJA Fed Ded</t>
  </si>
  <si>
    <t>AGI Before SS</t>
  </si>
  <si>
    <t>MAGI for IRMAA</t>
  </si>
  <si>
    <t>MAGI for NIIT</t>
  </si>
  <si>
    <t>ModelFirstYearNewTaxes</t>
  </si>
  <si>
    <t>First Year New Tax Law</t>
  </si>
  <si>
    <t>Fails Reserve Goal</t>
  </si>
  <si>
    <t>Failed to meet Reserve</t>
  </si>
  <si>
    <t>Summary Statistics</t>
  </si>
  <si>
    <t>Total Failed</t>
  </si>
  <si>
    <t>Counts</t>
  </si>
  <si>
    <t>ExploreInflationSpend</t>
  </si>
  <si>
    <t>Public</t>
  </si>
  <si>
    <t>Insufficent Funds</t>
  </si>
  <si>
    <t>.07,.09</t>
  </si>
  <si>
    <t>Weighted &amp; Adjusted IRA</t>
  </si>
  <si>
    <t>Weighted &amp; Adj Unqual</t>
  </si>
  <si>
    <t>Adj Roth</t>
  </si>
  <si>
    <t>Nominal Account Total</t>
  </si>
  <si>
    <t>Nominal Investment Income Tax</t>
  </si>
  <si>
    <t>Marginal Income  Tax Rate</t>
  </si>
  <si>
    <t>Current (Plan Start) Year</t>
  </si>
  <si>
    <t>Inflation Adj SS</t>
  </si>
  <si>
    <t>Current Fed Tax Brackets</t>
  </si>
  <si>
    <t>Current Estimated Monthly SS</t>
  </si>
  <si>
    <t>Current State 1 Tax Rate</t>
  </si>
  <si>
    <t>Current State 2 Tax Rate</t>
  </si>
  <si>
    <t>Estimated Federal Personal Exemption</t>
  </si>
  <si>
    <t>Actual Current Annualized SS 1</t>
  </si>
  <si>
    <t>Actual Current Annualized SS 2</t>
  </si>
  <si>
    <t>Medicare IRMAA bracket for Plan Year</t>
  </si>
  <si>
    <t>Medicare IRMAA bracket for Plan Year + 1</t>
  </si>
  <si>
    <t>IRMAA Bracket 1</t>
  </si>
  <si>
    <t>IRMAA Bracket 2</t>
  </si>
  <si>
    <t>IRMAA  Bracket 3</t>
  </si>
  <si>
    <t>IRMAA  Bracket 4</t>
  </si>
  <si>
    <t>IRMAA Bracket 5</t>
  </si>
  <si>
    <t>IRMAA Factor</t>
  </si>
  <si>
    <t xml:space="preserve">Effective IRMAA Factor </t>
  </si>
  <si>
    <t>IRMAA  Tax</t>
  </si>
  <si>
    <t>Target Spend Value for Baseline Year</t>
  </si>
  <si>
    <t>Baseline Year for Spending &amp; Inflation Indexing</t>
  </si>
  <si>
    <t>StateTaxInfo</t>
  </si>
  <si>
    <t>Utlities</t>
  </si>
  <si>
    <t>Inflation Adj Pension</t>
  </si>
  <si>
    <t>Inflation Adj Wages</t>
  </si>
  <si>
    <t>Adj IRA Draw</t>
  </si>
  <si>
    <t>Adj Roth Draw</t>
  </si>
  <si>
    <t>Adj Unqual Draw</t>
  </si>
  <si>
    <t>Adj NII Tax</t>
  </si>
  <si>
    <t>Adj FICA Tax</t>
  </si>
  <si>
    <t>Adj Fed LTCG Tax</t>
  </si>
  <si>
    <t>Adj Fed Ordinary Tax</t>
  </si>
  <si>
    <t>Adj State Tax</t>
  </si>
  <si>
    <t>ADJ IRMAA Tax</t>
  </si>
  <si>
    <t>Inflation Factor</t>
  </si>
  <si>
    <t>ModelActualSS1</t>
  </si>
  <si>
    <t>ModelActualSS2</t>
  </si>
  <si>
    <t>ModelPlanYearIRMAAFactor</t>
  </si>
  <si>
    <t>ModelNextYearIRMAAFactor</t>
  </si>
  <si>
    <t>Profile 3</t>
  </si>
  <si>
    <t>Adj Taxable SS</t>
  </si>
  <si>
    <t>Adj Unqual Income</t>
  </si>
  <si>
    <t>Adj LTGC</t>
  </si>
  <si>
    <t>Adj Qual Income</t>
  </si>
  <si>
    <t>Adj State Unqual</t>
  </si>
  <si>
    <t>Adj State Wage Income</t>
  </si>
  <si>
    <t>Adj State Pension Income</t>
  </si>
  <si>
    <t>Adj State IRA Income</t>
  </si>
  <si>
    <t>Adj State LTGC Income</t>
  </si>
  <si>
    <t>Adj State SS</t>
  </si>
  <si>
    <t>ProbeRoth</t>
  </si>
  <si>
    <t>.15,.09</t>
  </si>
  <si>
    <t>First Year of Retirement Spending</t>
  </si>
  <si>
    <t>.11,.08</t>
  </si>
  <si>
    <t>ModelFirstRetirementYear</t>
  </si>
  <si>
    <t>Ref Column</t>
  </si>
  <si>
    <t>ExploreRetirementStart</t>
  </si>
  <si>
    <t>70,64</t>
  </si>
  <si>
    <t>70,66</t>
  </si>
  <si>
    <t>First Year of Retirement</t>
  </si>
  <si>
    <t>Est Adj Non-IRA Tax</t>
  </si>
  <si>
    <t>Adj Requested Spending</t>
  </si>
  <si>
    <t>Other Summaries</t>
  </si>
  <si>
    <t>Funded Ratio</t>
  </si>
  <si>
    <t>Absolute Funded Ratio</t>
  </si>
  <si>
    <t>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</si>
</sst>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0_);[Red]\(&quot;$&quot;#,##0\)"/>
    <numFmt numFmtId="164" formatCode="&quot;$&quot;#,##0"/>
    <numFmt numFmtId="165" formatCode="0.0"/>
    <numFmt numFmtId="166" formatCode="#,##0.0"/>
    <numFmt numFmtId="167" formatCode="&quot;$&quot;#,##0.00"/>
    <numFmt numFmtId="168" formatCode="0.0%"/>
    <numFmt numFmtId="169" formatCode="0.000%"/>
    <numFmt numFmtId="170" formatCode="#,##0.000"/>
    <numFmt numFmtId="171" formatCode="0.000"/>
  </numFmts>
  <fonts count="16" x14ac:knownFonts="1">
    <font>
      <sz val="11"/>
      <color theme="1"/>
      <name val="Calibri"/>
      <family val="2"/>
      <scheme val="minor"/>
    </font>
    <font>
      <b/>
      <sz val="11"/>
      <color theme="1"/>
      <name val="Calibri"/>
      <family val="2"/>
      <scheme val="minor"/>
    </font>
    <font>
      <sz val="10"/>
      <color rgb="FF000000"/>
      <name val="Arial"/>
      <family val="2"/>
    </font>
    <font>
      <sz val="10"/>
      <color rgb="FFFF0000"/>
      <name val="Lato"/>
      <family val="2"/>
    </font>
    <font>
      <b/>
      <sz val="10"/>
      <color rgb="FF000000"/>
      <name val="Lato"/>
      <family val="2"/>
    </font>
    <font>
      <sz val="10"/>
      <name val="Lato"/>
      <family val="2"/>
    </font>
    <font>
      <sz val="10"/>
      <color rgb="FF000000"/>
      <name val="Lato"/>
      <family val="2"/>
    </font>
    <font>
      <b/>
      <sz val="10"/>
      <name val="Lato"/>
      <family val="2"/>
    </font>
    <font>
      <sz val="10"/>
      <color rgb="FF000000"/>
      <name val="Wingdings"/>
      <charset val="2"/>
    </font>
    <font>
      <u/>
      <sz val="10"/>
      <color theme="10"/>
      <name val="Arial"/>
      <family val="2"/>
    </font>
    <font>
      <sz val="5"/>
      <color rgb="FF333333"/>
      <name val="Open Sans"/>
      <family val="2"/>
    </font>
    <font>
      <sz val="10"/>
      <color rgb="FFFFC000"/>
      <name val="Lato"/>
      <family val="2"/>
    </font>
    <font>
      <sz val="10"/>
      <color theme="1"/>
      <name val="Lato"/>
      <family val="2"/>
    </font>
    <font>
      <sz val="10"/>
      <color rgb="FFC00000"/>
      <name val="Lato"/>
      <family val="2"/>
    </font>
    <font>
      <b/>
      <u/>
      <sz val="10"/>
      <name val="Lato"/>
      <family val="2"/>
    </font>
    <font>
      <b/>
      <sz val="10"/>
      <color rgb="FF000000"/>
      <name val="Lato"/>
      <family val="2"/>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ck">
        <color rgb="FFD9D9D9"/>
      </bottom>
      <diagonal/>
    </border>
    <border>
      <left style="medium">
        <color rgb="FFD9D9D9"/>
      </left>
      <right/>
      <top/>
      <bottom style="thick">
        <color rgb="FFD9D9D9"/>
      </bottom>
      <diagonal/>
    </border>
    <border>
      <left style="medium">
        <color rgb="FFD9D9D9"/>
      </left>
      <right/>
      <top/>
      <bottom/>
      <diagonal/>
    </border>
    <border>
      <left/>
      <right style="medium">
        <color rgb="FFD9D9D9"/>
      </right>
      <top/>
      <bottom/>
      <diagonal/>
    </border>
  </borders>
  <cellStyleXfs count="3">
    <xf numFmtId="0" fontId="0" fillId="0" borderId="0"/>
    <xf numFmtId="0" fontId="2" fillId="0" borderId="0"/>
    <xf numFmtId="0" fontId="9" fillId="0" borderId="0" applyNumberFormat="0" applyFill="0" applyBorder="0" applyAlignment="0" applyProtection="0"/>
  </cellStyleXfs>
  <cellXfs count="293">
    <xf numFmtId="0" fontId="0" fillId="0" borderId="0" xfId="0"/>
    <xf numFmtId="0" fontId="0" fillId="0" borderId="0" xfId="0" applyAlignment="1">
      <alignment wrapText="1"/>
    </xf>
    <xf numFmtId="0" fontId="0" fillId="0" borderId="2" xfId="0" applyBorder="1" applyAlignment="1">
      <alignment wrapText="1"/>
    </xf>
    <xf numFmtId="0" fontId="0" fillId="0" borderId="1" xfId="0" applyBorder="1" applyAlignment="1">
      <alignment wrapText="1"/>
    </xf>
    <xf numFmtId="0" fontId="0" fillId="0" borderId="2" xfId="0" applyBorder="1"/>
    <xf numFmtId="0" fontId="0" fillId="0" borderId="1" xfId="0" applyBorder="1"/>
    <xf numFmtId="0" fontId="1" fillId="0" borderId="4" xfId="0" applyFont="1" applyBorder="1"/>
    <xf numFmtId="164" fontId="0" fillId="0" borderId="2" xfId="0" applyNumberFormat="1" applyBorder="1"/>
    <xf numFmtId="164" fontId="0" fillId="0" borderId="0" xfId="0" applyNumberFormat="1"/>
    <xf numFmtId="164" fontId="0" fillId="0" borderId="1" xfId="0" applyNumberFormat="1" applyBorder="1"/>
    <xf numFmtId="165" fontId="0" fillId="0" borderId="2" xfId="0" applyNumberFormat="1" applyBorder="1"/>
    <xf numFmtId="0" fontId="0" fillId="0" borderId="3" xfId="0" applyBorder="1"/>
    <xf numFmtId="0" fontId="1" fillId="0" borderId="0" xfId="0" applyFont="1" applyAlignment="1">
      <alignment horizontal="center"/>
    </xf>
    <xf numFmtId="0" fontId="0" fillId="0" borderId="0" xfId="0" applyAlignment="1">
      <alignment horizontal="right"/>
    </xf>
    <xf numFmtId="0" fontId="1" fillId="0" borderId="3" xfId="0" applyFont="1" applyBorder="1"/>
    <xf numFmtId="0" fontId="0" fillId="0" borderId="5" xfId="0" applyBorder="1"/>
    <xf numFmtId="166" fontId="0" fillId="0" borderId="2" xfId="0" applyNumberFormat="1" applyBorder="1"/>
    <xf numFmtId="0" fontId="0" fillId="0" borderId="2" xfId="0" applyBorder="1" applyAlignment="1">
      <alignment horizontal="center"/>
    </xf>
    <xf numFmtId="0" fontId="1" fillId="0" borderId="9" xfId="0" applyFont="1" applyBorder="1"/>
    <xf numFmtId="0" fontId="1" fillId="0" borderId="10" xfId="0" applyFont="1" applyBorder="1"/>
    <xf numFmtId="0" fontId="1" fillId="0" borderId="11" xfId="0" applyFont="1" applyBorder="1"/>
    <xf numFmtId="0" fontId="0" fillId="0" borderId="0" xfId="0" applyAlignment="1">
      <alignment horizontal="left"/>
    </xf>
    <xf numFmtId="0" fontId="0" fillId="0" borderId="0" xfId="0" applyAlignment="1">
      <alignment horizontal="left" indent="3"/>
    </xf>
    <xf numFmtId="165" fontId="0" fillId="0" borderId="0" xfId="0" applyNumberFormat="1"/>
    <xf numFmtId="166" fontId="0" fillId="0" borderId="0" xfId="0" applyNumberFormat="1"/>
    <xf numFmtId="0" fontId="1" fillId="0" borderId="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0" xfId="0" applyFont="1"/>
    <xf numFmtId="4" fontId="0" fillId="0" borderId="2" xfId="0" applyNumberFormat="1" applyBorder="1"/>
    <xf numFmtId="0" fontId="0" fillId="0" borderId="10" xfId="0" applyBorder="1"/>
    <xf numFmtId="167" fontId="0" fillId="0" borderId="2" xfId="0" applyNumberFormat="1" applyBorder="1"/>
    <xf numFmtId="164" fontId="0" fillId="0" borderId="0" xfId="0" applyNumberFormat="1" applyAlignment="1">
      <alignment horizontal="right"/>
    </xf>
    <xf numFmtId="49" fontId="0" fillId="0" borderId="0" xfId="0" applyNumberFormat="1" applyAlignment="1">
      <alignment wrapText="1"/>
    </xf>
    <xf numFmtId="0" fontId="0" fillId="0" borderId="0" xfId="0" applyAlignment="1">
      <alignment vertical="center" wrapText="1"/>
    </xf>
    <xf numFmtId="164" fontId="0" fillId="0" borderId="0" xfId="0" applyNumberFormat="1" applyAlignment="1">
      <alignment wrapText="1"/>
    </xf>
    <xf numFmtId="168" fontId="0" fillId="0" borderId="2" xfId="0" applyNumberFormat="1" applyBorder="1"/>
    <xf numFmtId="10" fontId="0" fillId="0" borderId="2" xfId="0" applyNumberFormat="1" applyBorder="1"/>
    <xf numFmtId="10" fontId="0" fillId="0" borderId="5" xfId="0" applyNumberFormat="1" applyBorder="1"/>
    <xf numFmtId="168" fontId="0" fillId="0" borderId="0" xfId="0" applyNumberFormat="1" applyAlignment="1">
      <alignment wrapText="1"/>
    </xf>
    <xf numFmtId="0" fontId="0" fillId="0" borderId="12" xfId="0" applyBorder="1"/>
    <xf numFmtId="0" fontId="0" fillId="0" borderId="2" xfId="0" applyBorder="1" applyAlignment="1">
      <alignment horizontal="right"/>
    </xf>
    <xf numFmtId="0" fontId="0" fillId="0" borderId="0" xfId="0" applyAlignment="1">
      <alignment horizontal="left" vertical="center" wrapText="1"/>
    </xf>
    <xf numFmtId="0" fontId="0" fillId="0" borderId="13" xfId="0" applyBorder="1"/>
    <xf numFmtId="0" fontId="1" fillId="0" borderId="1" xfId="0" applyFont="1" applyBorder="1"/>
    <xf numFmtId="10" fontId="0" fillId="0" borderId="0" xfId="0" applyNumberFormat="1"/>
    <xf numFmtId="0" fontId="0" fillId="0" borderId="4" xfId="0" applyBorder="1" applyAlignment="1">
      <alignment horizontal="right"/>
    </xf>
    <xf numFmtId="0" fontId="0" fillId="0" borderId="0" xfId="0" applyAlignment="1">
      <alignment horizontal="center"/>
    </xf>
    <xf numFmtId="10" fontId="0" fillId="0" borderId="0" xfId="0" applyNumberFormat="1" applyAlignment="1">
      <alignment wrapText="1"/>
    </xf>
    <xf numFmtId="9" fontId="0" fillId="0" borderId="0" xfId="0" applyNumberFormat="1"/>
    <xf numFmtId="167" fontId="0" fillId="0" borderId="0" xfId="0" applyNumberFormat="1"/>
    <xf numFmtId="3" fontId="0" fillId="0" borderId="2" xfId="0" applyNumberFormat="1" applyBorder="1"/>
    <xf numFmtId="49" fontId="0" fillId="0" borderId="2" xfId="0" applyNumberFormat="1" applyBorder="1" applyAlignment="1">
      <alignment wrapText="1"/>
    </xf>
    <xf numFmtId="49" fontId="0" fillId="0" borderId="2" xfId="0" applyNumberFormat="1" applyBorder="1" applyAlignment="1">
      <alignment horizontal="left" wrapText="1"/>
    </xf>
    <xf numFmtId="168" fontId="0" fillId="0" borderId="0" xfId="0" applyNumberFormat="1"/>
    <xf numFmtId="1" fontId="0" fillId="0" borderId="0" xfId="0" applyNumberFormat="1" applyAlignment="1">
      <alignment horizontal="right"/>
    </xf>
    <xf numFmtId="164" fontId="0" fillId="0" borderId="1" xfId="0" applyNumberFormat="1" applyBorder="1" applyAlignment="1">
      <alignment wrapText="1"/>
    </xf>
    <xf numFmtId="164" fontId="0" fillId="0" borderId="2" xfId="0" applyNumberFormat="1" applyBorder="1" applyAlignment="1">
      <alignment wrapText="1"/>
    </xf>
    <xf numFmtId="0" fontId="0" fillId="0" borderId="10" xfId="0" applyBorder="1" applyAlignment="1">
      <alignment horizontal="right"/>
    </xf>
    <xf numFmtId="1" fontId="0" fillId="0" borderId="2" xfId="0" applyNumberFormat="1" applyBorder="1" applyAlignment="1">
      <alignment wrapText="1"/>
    </xf>
    <xf numFmtId="1" fontId="0" fillId="0" borderId="2" xfId="0" applyNumberFormat="1" applyBorder="1"/>
    <xf numFmtId="0" fontId="1" fillId="0" borderId="12" xfId="0" applyFont="1" applyBorder="1"/>
    <xf numFmtId="165" fontId="0" fillId="0" borderId="2" xfId="0" applyNumberFormat="1" applyBorder="1" applyAlignment="1">
      <alignment horizontal="right"/>
    </xf>
    <xf numFmtId="0" fontId="0" fillId="0" borderId="6" xfId="0" applyBorder="1"/>
    <xf numFmtId="2" fontId="0" fillId="0" borderId="0" xfId="0" applyNumberFormat="1"/>
    <xf numFmtId="3" fontId="0" fillId="0" borderId="0" xfId="0" applyNumberFormat="1"/>
    <xf numFmtId="1" fontId="0" fillId="0" borderId="0" xfId="0" applyNumberFormat="1" applyAlignment="1">
      <alignment horizontal="center" wrapText="1"/>
    </xf>
    <xf numFmtId="167" fontId="1" fillId="0" borderId="3" xfId="0" applyNumberFormat="1" applyFont="1" applyBorder="1"/>
    <xf numFmtId="168" fontId="0" fillId="0" borderId="0" xfId="0" applyNumberFormat="1" applyAlignment="1">
      <alignment horizontal="right" wrapText="1" indent="1"/>
    </xf>
    <xf numFmtId="164" fontId="0" fillId="0" borderId="0" xfId="0" applyNumberFormat="1" applyAlignment="1">
      <alignment horizontal="left"/>
    </xf>
    <xf numFmtId="0" fontId="0" fillId="0" borderId="0" xfId="0" applyAlignment="1">
      <alignment horizontal="left" vertical="top" wrapText="1"/>
    </xf>
    <xf numFmtId="0" fontId="0" fillId="0" borderId="12" xfId="0" applyBorder="1" applyAlignment="1">
      <alignment horizontal="center"/>
    </xf>
    <xf numFmtId="10" fontId="0" fillId="0" borderId="12" xfId="0" applyNumberFormat="1" applyBorder="1"/>
    <xf numFmtId="0" fontId="0" fillId="0" borderId="1" xfId="0" applyBorder="1" applyAlignment="1">
      <alignment horizontal="left"/>
    </xf>
    <xf numFmtId="0" fontId="0" fillId="0" borderId="3" xfId="0" applyBorder="1" applyAlignment="1">
      <alignment horizontal="left"/>
    </xf>
    <xf numFmtId="0" fontId="0" fillId="0" borderId="4" xfId="0" applyBorder="1" applyAlignment="1">
      <alignment horizontal="left"/>
    </xf>
    <xf numFmtId="168" fontId="0" fillId="0" borderId="2" xfId="0" applyNumberFormat="1" applyBorder="1" applyAlignment="1">
      <alignment horizontal="left" wrapText="1"/>
    </xf>
    <xf numFmtId="168" fontId="0" fillId="0" borderId="0" xfId="0" applyNumberFormat="1" applyAlignment="1">
      <alignment horizontal="left"/>
    </xf>
    <xf numFmtId="10" fontId="1" fillId="0" borderId="0" xfId="0" applyNumberFormat="1" applyFont="1"/>
    <xf numFmtId="10" fontId="0" fillId="0" borderId="2" xfId="0" applyNumberFormat="1" applyBorder="1" applyAlignment="1">
      <alignment wrapText="1"/>
    </xf>
    <xf numFmtId="3" fontId="1" fillId="0" borderId="0" xfId="0" applyNumberFormat="1" applyFont="1"/>
    <xf numFmtId="3" fontId="0" fillId="0" borderId="2" xfId="0" applyNumberFormat="1" applyBorder="1" applyAlignment="1">
      <alignment wrapText="1"/>
    </xf>
    <xf numFmtId="0" fontId="3" fillId="0" borderId="16" xfId="1" applyFont="1" applyBorder="1"/>
    <xf numFmtId="0" fontId="5" fillId="0" borderId="16" xfId="1" applyFont="1" applyBorder="1"/>
    <xf numFmtId="0" fontId="6" fillId="0" borderId="16" xfId="1" applyFont="1" applyBorder="1"/>
    <xf numFmtId="0" fontId="6" fillId="0" borderId="0" xfId="1" applyFont="1"/>
    <xf numFmtId="0" fontId="7" fillId="0" borderId="0" xfId="1" applyFont="1"/>
    <xf numFmtId="0" fontId="4" fillId="0" borderId="18" xfId="1" applyFont="1" applyBorder="1"/>
    <xf numFmtId="0" fontId="4" fillId="0" borderId="0" xfId="1" applyFont="1"/>
    <xf numFmtId="0" fontId="7" fillId="0" borderId="18" xfId="1" applyFont="1" applyBorder="1"/>
    <xf numFmtId="0" fontId="7" fillId="0" borderId="18" xfId="1" applyFont="1" applyBorder="1" applyAlignment="1">
      <alignment horizontal="left"/>
    </xf>
    <xf numFmtId="0" fontId="7" fillId="0" borderId="0" xfId="1" applyFont="1" applyAlignment="1">
      <alignment horizontal="left"/>
    </xf>
    <xf numFmtId="0" fontId="5" fillId="0" borderId="0" xfId="1" applyFont="1"/>
    <xf numFmtId="10" fontId="6" fillId="0" borderId="18" xfId="1" applyNumberFormat="1" applyFont="1" applyBorder="1" applyAlignment="1">
      <alignment horizontal="right"/>
    </xf>
    <xf numFmtId="164" fontId="5" fillId="0" borderId="0" xfId="1" applyNumberFormat="1" applyFont="1" applyAlignment="1">
      <alignment horizontal="right"/>
    </xf>
    <xf numFmtId="10" fontId="5" fillId="0" borderId="18" xfId="1" applyNumberFormat="1" applyFont="1" applyBorder="1" applyAlignment="1">
      <alignment horizontal="right"/>
    </xf>
    <xf numFmtId="164" fontId="5" fillId="0" borderId="18" xfId="1" applyNumberFormat="1" applyFont="1" applyBorder="1" applyAlignment="1">
      <alignment horizontal="right"/>
    </xf>
    <xf numFmtId="0" fontId="8" fillId="0" borderId="0" xfId="1" applyFont="1"/>
    <xf numFmtId="6" fontId="5" fillId="0" borderId="18" xfId="1" applyNumberFormat="1" applyFont="1" applyBorder="1" applyAlignment="1">
      <alignment horizontal="right"/>
    </xf>
    <xf numFmtId="0" fontId="5" fillId="0" borderId="18" xfId="1" applyFont="1" applyBorder="1" applyAlignment="1">
      <alignment horizontal="right"/>
    </xf>
    <xf numFmtId="0" fontId="5" fillId="0" borderId="0" xfId="1" applyFont="1" applyAlignment="1">
      <alignment horizontal="right"/>
    </xf>
    <xf numFmtId="6" fontId="5" fillId="0" borderId="0" xfId="1" applyNumberFormat="1" applyFont="1" applyAlignment="1">
      <alignment horizontal="right"/>
    </xf>
    <xf numFmtId="0" fontId="3" fillId="0" borderId="0" xfId="1" applyFont="1"/>
    <xf numFmtId="0" fontId="6" fillId="0" borderId="18" xfId="1" applyFont="1" applyBorder="1"/>
    <xf numFmtId="0" fontId="5" fillId="0" borderId="18" xfId="1" applyFont="1" applyBorder="1"/>
    <xf numFmtId="0" fontId="3" fillId="0" borderId="18" xfId="1" applyFont="1" applyBorder="1"/>
    <xf numFmtId="0" fontId="9" fillId="0" borderId="0" xfId="2" applyFill="1" applyAlignment="1"/>
    <xf numFmtId="10" fontId="3" fillId="0" borderId="18" xfId="1" applyNumberFormat="1" applyFont="1" applyBorder="1" applyAlignment="1">
      <alignment horizontal="right"/>
    </xf>
    <xf numFmtId="0" fontId="5" fillId="0" borderId="0" xfId="1" applyFont="1" applyAlignment="1">
      <alignment horizontal="left"/>
    </xf>
    <xf numFmtId="3" fontId="5" fillId="0" borderId="0" xfId="1" applyNumberFormat="1" applyFont="1"/>
    <xf numFmtId="10" fontId="6" fillId="0" borderId="18" xfId="1" applyNumberFormat="1" applyFont="1" applyBorder="1"/>
    <xf numFmtId="6" fontId="5" fillId="0" borderId="0" xfId="1" applyNumberFormat="1" applyFont="1"/>
    <xf numFmtId="10" fontId="5" fillId="0" borderId="18" xfId="1" applyNumberFormat="1" applyFont="1" applyBorder="1"/>
    <xf numFmtId="168" fontId="5" fillId="0" borderId="18" xfId="1" applyNumberFormat="1" applyFont="1" applyBorder="1" applyAlignment="1">
      <alignment horizontal="right"/>
    </xf>
    <xf numFmtId="0" fontId="10" fillId="0" borderId="0" xfId="1" applyFont="1"/>
    <xf numFmtId="0" fontId="11" fillId="0" borderId="0" xfId="1" applyFont="1"/>
    <xf numFmtId="0" fontId="5" fillId="0" borderId="0" xfId="1" applyFont="1" applyAlignment="1">
      <alignment wrapText="1"/>
    </xf>
    <xf numFmtId="164" fontId="5" fillId="0" borderId="0" xfId="1" applyNumberFormat="1" applyFont="1" applyAlignment="1">
      <alignment horizontal="left"/>
    </xf>
    <xf numFmtId="0" fontId="12" fillId="0" borderId="0" xfId="1" applyFont="1"/>
    <xf numFmtId="169" fontId="6" fillId="0" borderId="18" xfId="1" applyNumberFormat="1" applyFont="1" applyBorder="1" applyAlignment="1">
      <alignment horizontal="right"/>
    </xf>
    <xf numFmtId="169" fontId="5" fillId="0" borderId="18" xfId="1" applyNumberFormat="1" applyFont="1" applyBorder="1" applyAlignment="1">
      <alignment horizontal="right"/>
    </xf>
    <xf numFmtId="169" fontId="5" fillId="0" borderId="0" xfId="1" applyNumberFormat="1" applyFont="1"/>
    <xf numFmtId="10" fontId="13" fillId="0" borderId="18" xfId="1" applyNumberFormat="1" applyFont="1" applyBorder="1" applyAlignment="1">
      <alignment horizontal="right"/>
    </xf>
    <xf numFmtId="0" fontId="14" fillId="0" borderId="0" xfId="1" applyFont="1"/>
    <xf numFmtId="167" fontId="6" fillId="0" borderId="0" xfId="1" applyNumberFormat="1" applyFont="1"/>
    <xf numFmtId="0" fontId="5" fillId="0" borderId="18" xfId="1" applyFont="1" applyBorder="1" applyAlignment="1">
      <alignment horizontal="left" vertical="center"/>
    </xf>
    <xf numFmtId="0" fontId="11" fillId="0" borderId="18" xfId="1" applyFont="1" applyBorder="1" applyAlignment="1">
      <alignment horizontal="left"/>
    </xf>
    <xf numFmtId="0" fontId="2" fillId="0" borderId="0" xfId="1"/>
    <xf numFmtId="10" fontId="6" fillId="0" borderId="0" xfId="1" applyNumberFormat="1" applyFont="1" applyAlignment="1">
      <alignment horizontal="right"/>
    </xf>
    <xf numFmtId="10" fontId="6" fillId="0" borderId="2" xfId="1" applyNumberFormat="1" applyFont="1" applyBorder="1" applyAlignment="1">
      <alignment horizontal="right"/>
    </xf>
    <xf numFmtId="169" fontId="0" fillId="0" borderId="0" xfId="0" applyNumberFormat="1"/>
    <xf numFmtId="10" fontId="5" fillId="0" borderId="0" xfId="1" applyNumberFormat="1" applyFont="1" applyAlignment="1">
      <alignment horizontal="right"/>
    </xf>
    <xf numFmtId="0" fontId="1" fillId="0" borderId="2" xfId="0" applyFont="1" applyBorder="1" applyAlignment="1">
      <alignment horizontal="right"/>
    </xf>
    <xf numFmtId="168" fontId="0" fillId="0" borderId="2" xfId="0" applyNumberFormat="1" applyBorder="1" applyAlignment="1">
      <alignment horizontal="right"/>
    </xf>
    <xf numFmtId="10" fontId="0" fillId="0" borderId="2" xfId="0" applyNumberFormat="1" applyBorder="1" applyAlignment="1">
      <alignment horizontal="right"/>
    </xf>
    <xf numFmtId="4" fontId="0" fillId="0" borderId="0" xfId="0" applyNumberFormat="1"/>
    <xf numFmtId="164" fontId="0" fillId="0" borderId="3" xfId="0" applyNumberFormat="1" applyBorder="1"/>
    <xf numFmtId="164" fontId="0" fillId="0" borderId="4" xfId="0" applyNumberFormat="1" applyBorder="1"/>
    <xf numFmtId="164" fontId="0" fillId="0" borderId="3" xfId="0" applyNumberFormat="1" applyBorder="1" applyAlignment="1">
      <alignment horizontal="center"/>
    </xf>
    <xf numFmtId="0" fontId="0" fillId="0" borderId="4" xfId="0" applyBorder="1"/>
    <xf numFmtId="10" fontId="1" fillId="0" borderId="0" xfId="0" applyNumberFormat="1" applyFont="1" applyAlignment="1">
      <alignment horizontal="center"/>
    </xf>
    <xf numFmtId="10" fontId="0" fillId="0" borderId="0" xfId="0" applyNumberFormat="1" applyAlignment="1">
      <alignment horizontal="left" indent="3"/>
    </xf>
    <xf numFmtId="10" fontId="0" fillId="0" borderId="0" xfId="0" applyNumberFormat="1" applyAlignment="1">
      <alignment horizontal="left"/>
    </xf>
    <xf numFmtId="0" fontId="0" fillId="0" borderId="9" xfId="0" applyBorder="1"/>
    <xf numFmtId="0" fontId="0" fillId="0" borderId="8" xfId="0" applyBorder="1"/>
    <xf numFmtId="0" fontId="0" fillId="0" borderId="7" xfId="0" applyBorder="1"/>
    <xf numFmtId="0" fontId="0" fillId="0" borderId="15" xfId="0" applyBorder="1" applyAlignment="1">
      <alignment wrapText="1"/>
    </xf>
    <xf numFmtId="4" fontId="0" fillId="0" borderId="2" xfId="0" applyNumberFormat="1" applyBorder="1" applyAlignment="1">
      <alignment wrapText="1"/>
    </xf>
    <xf numFmtId="4" fontId="0" fillId="0" borderId="0" xfId="0" applyNumberFormat="1" applyAlignment="1">
      <alignment vertical="center" wrapText="1"/>
    </xf>
    <xf numFmtId="4" fontId="0" fillId="0" borderId="0" xfId="0" applyNumberFormat="1" applyAlignment="1">
      <alignment horizontal="left" vertical="center" wrapText="1"/>
    </xf>
    <xf numFmtId="4" fontId="1" fillId="0" borderId="0" xfId="0" applyNumberFormat="1" applyFont="1"/>
    <xf numFmtId="4" fontId="0" fillId="0" borderId="0" xfId="0" applyNumberFormat="1" applyAlignment="1">
      <alignment horizontal="left" vertical="top" wrapText="1"/>
    </xf>
    <xf numFmtId="4" fontId="1" fillId="0" borderId="0" xfId="0" applyNumberFormat="1" applyFont="1" applyAlignment="1">
      <alignment horizontal="center"/>
    </xf>
    <xf numFmtId="4" fontId="0" fillId="0" borderId="0" xfId="0" applyNumberFormat="1" applyAlignment="1">
      <alignment horizontal="center"/>
    </xf>
    <xf numFmtId="0" fontId="1" fillId="0" borderId="4" xfId="0" applyFont="1" applyBorder="1" applyAlignment="1">
      <alignment horizontal="right"/>
    </xf>
    <xf numFmtId="0" fontId="1" fillId="0" borderId="0" xfId="0" applyFont="1" applyAlignment="1">
      <alignment wrapText="1"/>
    </xf>
    <xf numFmtId="0" fontId="1" fillId="0" borderId="10" xfId="0" applyFont="1" applyBorder="1" applyAlignment="1">
      <alignment horizontal="center"/>
    </xf>
    <xf numFmtId="170" fontId="0" fillId="0" borderId="2" xfId="0" applyNumberFormat="1" applyBorder="1"/>
    <xf numFmtId="3" fontId="1" fillId="0" borderId="10" xfId="0" applyNumberFormat="1" applyFont="1" applyBorder="1"/>
    <xf numFmtId="3" fontId="1" fillId="0" borderId="0" xfId="0" applyNumberFormat="1" applyFont="1" applyAlignment="1">
      <alignment horizontal="center"/>
    </xf>
    <xf numFmtId="3" fontId="0" fillId="0" borderId="0" xfId="0" applyNumberFormat="1" applyAlignment="1">
      <alignment horizontal="left" indent="3"/>
    </xf>
    <xf numFmtId="3" fontId="0" fillId="0" borderId="0" xfId="0" applyNumberFormat="1" applyAlignment="1">
      <alignment horizontal="left"/>
    </xf>
    <xf numFmtId="10" fontId="1" fillId="0" borderId="10" xfId="0" applyNumberFormat="1" applyFont="1" applyBorder="1" applyAlignment="1">
      <alignment horizontal="center"/>
    </xf>
    <xf numFmtId="10" fontId="1" fillId="0" borderId="10" xfId="0" applyNumberFormat="1" applyFont="1" applyBorder="1"/>
    <xf numFmtId="3" fontId="0" fillId="0" borderId="2" xfId="0" applyNumberFormat="1" applyBorder="1" applyAlignment="1">
      <alignment horizontal="left" wrapText="1"/>
    </xf>
    <xf numFmtId="10" fontId="0" fillId="0" borderId="1" xfId="0" applyNumberFormat="1" applyBorder="1" applyAlignment="1">
      <alignment wrapText="1"/>
    </xf>
    <xf numFmtId="10" fontId="0" fillId="0" borderId="3" xfId="0" applyNumberFormat="1" applyBorder="1"/>
    <xf numFmtId="10" fontId="0" fillId="0" borderId="3" xfId="0" applyNumberFormat="1" applyBorder="1" applyAlignment="1">
      <alignment horizontal="left"/>
    </xf>
    <xf numFmtId="10" fontId="0" fillId="0" borderId="0" xfId="0" applyNumberFormat="1" applyAlignment="1">
      <alignment horizontal="center"/>
    </xf>
    <xf numFmtId="0" fontId="0" fillId="0" borderId="0" xfId="0" applyAlignment="1">
      <alignment vertical="center"/>
    </xf>
    <xf numFmtId="2" fontId="0" fillId="0" borderId="0" xfId="0" applyNumberFormat="1" applyAlignment="1">
      <alignment horizontal="right"/>
    </xf>
    <xf numFmtId="164" fontId="0" fillId="0" borderId="13" xfId="0" applyNumberFormat="1" applyBorder="1"/>
    <xf numFmtId="10" fontId="0" fillId="0" borderId="4" xfId="0" applyNumberFormat="1" applyBorder="1" applyAlignment="1">
      <alignment horizontal="right"/>
    </xf>
    <xf numFmtId="0" fontId="0" fillId="0" borderId="1" xfId="0" applyBorder="1" applyAlignment="1">
      <alignment horizontal="right"/>
    </xf>
    <xf numFmtId="0" fontId="0" fillId="0" borderId="3" xfId="0" applyBorder="1" applyAlignment="1">
      <alignment horizontal="right"/>
    </xf>
    <xf numFmtId="10" fontId="0" fillId="0" borderId="1" xfId="0" applyNumberFormat="1" applyBorder="1" applyAlignment="1">
      <alignment horizontal="right"/>
    </xf>
    <xf numFmtId="10" fontId="0" fillId="0" borderId="3" xfId="0" applyNumberFormat="1" applyBorder="1" applyAlignment="1">
      <alignment horizontal="right"/>
    </xf>
    <xf numFmtId="0" fontId="0" fillId="0" borderId="15" xfId="0" applyBorder="1" applyAlignment="1">
      <alignment horizontal="center"/>
    </xf>
    <xf numFmtId="164" fontId="0" fillId="0" borderId="4" xfId="0" applyNumberFormat="1" applyBorder="1" applyAlignment="1">
      <alignment horizontal="right"/>
    </xf>
    <xf numFmtId="0" fontId="0" fillId="0" borderId="3" xfId="0" applyBorder="1" applyAlignment="1">
      <alignment wrapText="1"/>
    </xf>
    <xf numFmtId="49" fontId="0" fillId="0" borderId="3" xfId="0" applyNumberFormat="1" applyBorder="1"/>
    <xf numFmtId="10" fontId="0" fillId="0" borderId="4" xfId="0" applyNumberFormat="1" applyBorder="1"/>
    <xf numFmtId="4" fontId="0" fillId="0" borderId="4" xfId="0" applyNumberFormat="1" applyBorder="1"/>
    <xf numFmtId="2" fontId="0" fillId="0" borderId="4" xfId="0" applyNumberFormat="1" applyBorder="1"/>
    <xf numFmtId="0" fontId="0" fillId="0" borderId="12" xfId="0" applyBorder="1" applyAlignment="1">
      <alignment wrapText="1"/>
    </xf>
    <xf numFmtId="49" fontId="0" fillId="0" borderId="12" xfId="0" applyNumberFormat="1" applyBorder="1"/>
    <xf numFmtId="10" fontId="0" fillId="0" borderId="1" xfId="0" applyNumberFormat="1" applyBorder="1"/>
    <xf numFmtId="14" fontId="0" fillId="0" borderId="4" xfId="0" applyNumberFormat="1" applyBorder="1" applyAlignment="1">
      <alignment horizontal="right"/>
    </xf>
    <xf numFmtId="1" fontId="0" fillId="0" borderId="4" xfId="0" applyNumberFormat="1" applyBorder="1" applyAlignment="1">
      <alignment horizontal="right"/>
    </xf>
    <xf numFmtId="165" fontId="0" fillId="0" borderId="4" xfId="0" applyNumberFormat="1" applyBorder="1" applyAlignment="1">
      <alignment horizontal="right"/>
    </xf>
    <xf numFmtId="6" fontId="0" fillId="0" borderId="4" xfId="0" applyNumberFormat="1" applyBorder="1" applyAlignment="1">
      <alignment horizontal="right"/>
    </xf>
    <xf numFmtId="0" fontId="0" fillId="2" borderId="1" xfId="0" applyFill="1" applyBorder="1"/>
    <xf numFmtId="164" fontId="0" fillId="2" borderId="4" xfId="0" applyNumberFormat="1" applyFill="1" applyBorder="1" applyAlignment="1">
      <alignment horizontal="right"/>
    </xf>
    <xf numFmtId="10" fontId="0" fillId="2" borderId="4" xfId="0" applyNumberFormat="1" applyFill="1" applyBorder="1"/>
    <xf numFmtId="0" fontId="0" fillId="2" borderId="12" xfId="0" applyFill="1" applyBorder="1"/>
    <xf numFmtId="1" fontId="0" fillId="0" borderId="3" xfId="0" applyNumberFormat="1" applyBorder="1" applyAlignment="1">
      <alignment horizontal="right"/>
    </xf>
    <xf numFmtId="1" fontId="0" fillId="0" borderId="0" xfId="0" applyNumberFormat="1"/>
    <xf numFmtId="170" fontId="0" fillId="0" borderId="0" xfId="0" applyNumberFormat="1"/>
    <xf numFmtId="0" fontId="1" fillId="0" borderId="2" xfId="0" applyFont="1" applyBorder="1" applyAlignment="1">
      <alignment horizontal="center"/>
    </xf>
    <xf numFmtId="1" fontId="0" fillId="0" borderId="2" xfId="0" applyNumberFormat="1" applyBorder="1" applyAlignment="1">
      <alignment horizontal="left" wrapText="1"/>
    </xf>
    <xf numFmtId="1" fontId="0" fillId="0" borderId="0" xfId="0" applyNumberFormat="1" applyAlignment="1">
      <alignment horizontal="left"/>
    </xf>
    <xf numFmtId="168" fontId="1" fillId="0" borderId="2" xfId="0" applyNumberFormat="1" applyFont="1" applyBorder="1" applyAlignment="1">
      <alignment horizontal="center"/>
    </xf>
    <xf numFmtId="3" fontId="0" fillId="0" borderId="14" xfId="0" applyNumberFormat="1" applyBorder="1"/>
    <xf numFmtId="0" fontId="1" fillId="0" borderId="0" xfId="0" applyFont="1" applyAlignment="1">
      <alignment horizontal="center" vertical="top"/>
    </xf>
    <xf numFmtId="0" fontId="0" fillId="0" borderId="2" xfId="0" applyBorder="1" applyAlignment="1">
      <alignment horizontal="left"/>
    </xf>
    <xf numFmtId="171" fontId="1" fillId="0" borderId="10" xfId="0" applyNumberFormat="1" applyFont="1" applyBorder="1"/>
    <xf numFmtId="171" fontId="0" fillId="0" borderId="2" xfId="0" applyNumberFormat="1" applyBorder="1" applyAlignment="1">
      <alignment wrapText="1"/>
    </xf>
    <xf numFmtId="171" fontId="0" fillId="0" borderId="2" xfId="0" applyNumberFormat="1" applyBorder="1"/>
    <xf numFmtId="171" fontId="0" fillId="0" borderId="0" xfId="0" applyNumberFormat="1"/>
    <xf numFmtId="171" fontId="1" fillId="0" borderId="0" xfId="0" applyNumberFormat="1" applyFont="1"/>
    <xf numFmtId="168" fontId="0" fillId="0" borderId="2" xfId="0" applyNumberFormat="1" applyBorder="1" applyAlignment="1">
      <alignment wrapText="1"/>
    </xf>
    <xf numFmtId="168" fontId="0" fillId="0" borderId="2" xfId="0" applyNumberFormat="1" applyBorder="1" applyAlignment="1">
      <alignment horizontal="right" wrapText="1" indent="1"/>
    </xf>
    <xf numFmtId="10" fontId="1" fillId="0" borderId="13" xfId="0" applyNumberFormat="1" applyFont="1" applyBorder="1" applyAlignment="1">
      <alignment horizontal="center" vertical="center"/>
    </xf>
    <xf numFmtId="10" fontId="1" fillId="0" borderId="11" xfId="0" applyNumberFormat="1" applyFont="1" applyBorder="1" applyAlignment="1">
      <alignment horizontal="center" vertical="center"/>
    </xf>
    <xf numFmtId="1" fontId="0" fillId="0" borderId="4" xfId="0" applyNumberFormat="1" applyBorder="1"/>
    <xf numFmtId="0" fontId="0" fillId="0" borderId="2" xfId="0" applyBorder="1" applyAlignment="1">
      <alignment horizontal="left" wrapText="1"/>
    </xf>
    <xf numFmtId="0" fontId="1" fillId="0" borderId="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4" xfId="0" applyBorder="1" applyAlignment="1">
      <alignment horizontal="center"/>
    </xf>
    <xf numFmtId="0" fontId="0" fillId="0" borderId="0" xfId="0" applyAlignment="1">
      <alignment horizontal="right"/>
    </xf>
    <xf numFmtId="0" fontId="1" fillId="0" borderId="2" xfId="0" applyFont="1" applyBorder="1" applyAlignment="1">
      <alignment horizontal="center"/>
    </xf>
    <xf numFmtId="0" fontId="0" fillId="0" borderId="1" xfId="0" applyBorder="1" applyAlignment="1">
      <alignment horizontal="right"/>
    </xf>
    <xf numFmtId="0" fontId="0" fillId="0" borderId="3" xfId="0" applyBorder="1" applyAlignment="1">
      <alignment horizontal="right"/>
    </xf>
    <xf numFmtId="0" fontId="0" fillId="0" borderId="0" xfId="0" applyAlignment="1">
      <alignment horizontal="center"/>
    </xf>
    <xf numFmtId="0" fontId="1" fillId="0" borderId="0" xfId="0" applyFont="1" applyAlignment="1">
      <alignment horizontal="center"/>
    </xf>
    <xf numFmtId="0" fontId="0" fillId="2" borderId="1" xfId="0" applyFill="1" applyBorder="1" applyAlignment="1">
      <alignment horizontal="right"/>
    </xf>
    <xf numFmtId="0" fontId="0" fillId="2" borderId="3" xfId="0" applyFill="1" applyBorder="1" applyAlignment="1">
      <alignment horizontal="right"/>
    </xf>
    <xf numFmtId="10" fontId="1" fillId="0" borderId="2" xfId="0" applyNumberFormat="1" applyFont="1" applyBorder="1" applyAlignment="1">
      <alignment horizontal="center"/>
    </xf>
    <xf numFmtId="10" fontId="0" fillId="0" borderId="1" xfId="0" applyNumberFormat="1" applyBorder="1" applyAlignment="1">
      <alignment horizontal="right"/>
    </xf>
    <xf numFmtId="10" fontId="0" fillId="0" borderId="3" xfId="0" applyNumberFormat="1" applyBorder="1" applyAlignment="1">
      <alignment horizontal="right"/>
    </xf>
    <xf numFmtId="10" fontId="0" fillId="0" borderId="4" xfId="0" applyNumberFormat="1" applyBorder="1" applyAlignment="1">
      <alignment horizontal="right"/>
    </xf>
    <xf numFmtId="0" fontId="0" fillId="0" borderId="4" xfId="0" applyBorder="1" applyAlignment="1">
      <alignment horizontal="right"/>
    </xf>
    <xf numFmtId="0" fontId="0" fillId="0" borderId="1" xfId="0" applyBorder="1" applyAlignment="1">
      <alignment horizontal="left"/>
    </xf>
    <xf numFmtId="0" fontId="0" fillId="0" borderId="3" xfId="0" applyBorder="1" applyAlignment="1">
      <alignment horizontal="left"/>
    </xf>
    <xf numFmtId="0" fontId="0" fillId="0" borderId="4" xfId="0" applyBorder="1" applyAlignment="1">
      <alignment horizontal="left"/>
    </xf>
    <xf numFmtId="49" fontId="0" fillId="0" borderId="1" xfId="0" applyNumberFormat="1" applyBorder="1" applyAlignment="1">
      <alignment horizontal="right"/>
    </xf>
    <xf numFmtId="49" fontId="0" fillId="0" borderId="3" xfId="0" applyNumberFormat="1" applyBorder="1" applyAlignment="1">
      <alignment horizontal="right"/>
    </xf>
    <xf numFmtId="49" fontId="0" fillId="0" borderId="4" xfId="0" applyNumberFormat="1" applyBorder="1" applyAlignment="1">
      <alignment horizontal="right"/>
    </xf>
    <xf numFmtId="0" fontId="0" fillId="0" borderId="2" xfId="0" applyBorder="1"/>
    <xf numFmtId="0" fontId="0" fillId="0" borderId="0" xfId="0" applyAlignment="1">
      <alignment horizontal="left" vertical="center" wrapText="1"/>
    </xf>
    <xf numFmtId="0" fontId="0" fillId="0" borderId="0" xfId="0" applyAlignment="1">
      <alignment horizontal="left" vertical="top" wrapText="1"/>
    </xf>
    <xf numFmtId="0" fontId="0" fillId="0" borderId="1" xfId="0" applyBorder="1" applyAlignment="1">
      <alignment horizontal="right" wrapText="1"/>
    </xf>
    <xf numFmtId="0" fontId="0" fillId="0" borderId="3" xfId="0" applyBorder="1" applyAlignment="1">
      <alignment horizontal="right" wrapText="1"/>
    </xf>
    <xf numFmtId="0" fontId="0" fillId="0" borderId="4" xfId="0" applyBorder="1" applyAlignment="1">
      <alignment horizontal="right" wrapText="1"/>
    </xf>
    <xf numFmtId="0" fontId="0" fillId="0" borderId="2" xfId="0" applyBorder="1" applyAlignment="1">
      <alignment horizontal="right"/>
    </xf>
    <xf numFmtId="0" fontId="0" fillId="0" borderId="13" xfId="0" applyBorder="1" applyAlignment="1">
      <alignment horizontal="right"/>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8" xfId="0" applyFont="1" applyBorder="1" applyAlignment="1">
      <alignment horizontal="center" vertical="center"/>
    </xf>
    <xf numFmtId="0" fontId="0" fillId="0" borderId="7"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164" fontId="1" fillId="0" borderId="2" xfId="0" applyNumberFormat="1" applyFont="1" applyBorder="1" applyAlignment="1">
      <alignment horizontal="center" vertical="center"/>
    </xf>
    <xf numFmtId="0" fontId="1" fillId="0" borderId="8" xfId="0" applyFont="1" applyBorder="1" applyAlignment="1">
      <alignment horizontal="center" vertical="top"/>
    </xf>
    <xf numFmtId="0" fontId="1" fillId="0" borderId="6" xfId="0" applyFont="1" applyBorder="1" applyAlignment="1">
      <alignment horizontal="center" vertical="top"/>
    </xf>
    <xf numFmtId="0" fontId="1" fillId="0" borderId="7" xfId="0" applyFont="1" applyBorder="1" applyAlignment="1">
      <alignment horizontal="center" vertical="top"/>
    </xf>
    <xf numFmtId="0" fontId="1" fillId="0" borderId="9" xfId="0" applyFont="1" applyBorder="1" applyAlignment="1">
      <alignment horizontal="center" vertical="top"/>
    </xf>
    <xf numFmtId="0" fontId="1" fillId="0" borderId="10" xfId="0" applyFont="1" applyBorder="1" applyAlignment="1">
      <alignment horizontal="center" vertical="top"/>
    </xf>
    <xf numFmtId="0" fontId="1" fillId="0" borderId="11" xfId="0" applyFont="1" applyBorder="1" applyAlignment="1">
      <alignment horizontal="center" vertical="top"/>
    </xf>
    <xf numFmtId="0" fontId="1" fillId="0" borderId="14" xfId="0" applyFont="1" applyBorder="1" applyAlignment="1">
      <alignment horizontal="center"/>
    </xf>
    <xf numFmtId="0" fontId="1" fillId="0" borderId="15"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10" fontId="1" fillId="0" borderId="12" xfId="0" applyNumberFormat="1" applyFont="1" applyBorder="1" applyAlignment="1">
      <alignment horizontal="center" vertical="center"/>
    </xf>
    <xf numFmtId="10" fontId="1" fillId="0" borderId="0" xfId="0" applyNumberFormat="1" applyFont="1" applyAlignment="1">
      <alignment horizontal="center" vertical="center"/>
    </xf>
    <xf numFmtId="10" fontId="1" fillId="0" borderId="13" xfId="0" applyNumberFormat="1" applyFont="1" applyBorder="1" applyAlignment="1">
      <alignment horizontal="center" vertical="center"/>
    </xf>
    <xf numFmtId="10" fontId="1" fillId="0" borderId="9" xfId="0" applyNumberFormat="1" applyFont="1" applyBorder="1" applyAlignment="1">
      <alignment horizontal="center" vertical="center"/>
    </xf>
    <xf numFmtId="10" fontId="1" fillId="0" borderId="10" xfId="0" applyNumberFormat="1" applyFont="1" applyBorder="1" applyAlignment="1">
      <alignment horizontal="center" vertical="center"/>
    </xf>
    <xf numFmtId="10" fontId="1" fillId="0" borderId="11" xfId="0" applyNumberFormat="1" applyFont="1" applyBorder="1" applyAlignment="1">
      <alignment horizontal="center" vertical="center"/>
    </xf>
    <xf numFmtId="0" fontId="0" fillId="0" borderId="0" xfId="0" applyAlignment="1">
      <alignment horizontal="left"/>
    </xf>
    <xf numFmtId="0" fontId="0" fillId="0" borderId="3" xfId="0" applyBorder="1" applyAlignment="1">
      <alignment horizontal="center"/>
    </xf>
    <xf numFmtId="0" fontId="0" fillId="0" borderId="2" xfId="0" applyBorder="1" applyAlignment="1">
      <alignment horizontal="left"/>
    </xf>
    <xf numFmtId="10" fontId="15" fillId="0" borderId="2" xfId="1" applyNumberFormat="1" applyFont="1" applyBorder="1" applyAlignment="1">
      <alignment horizontal="center"/>
    </xf>
    <xf numFmtId="0" fontId="2" fillId="0" borderId="0" xfId="1" applyAlignment="1">
      <alignment horizontal="left" vertical="top" wrapText="1"/>
    </xf>
    <xf numFmtId="0" fontId="2" fillId="0" borderId="0" xfId="1" applyAlignment="1">
      <alignment horizontal="left" vertical="top"/>
    </xf>
    <xf numFmtId="0" fontId="4" fillId="0" borderId="17" xfId="1" applyFont="1" applyBorder="1" applyAlignment="1">
      <alignment horizontal="center"/>
    </xf>
    <xf numFmtId="0" fontId="5" fillId="0" borderId="16" xfId="1" applyFont="1" applyBorder="1"/>
    <xf numFmtId="0" fontId="6" fillId="0" borderId="18" xfId="1" applyFont="1" applyBorder="1" applyAlignment="1">
      <alignment horizontal="center"/>
    </xf>
    <xf numFmtId="0" fontId="6" fillId="0" borderId="0" xfId="1" applyFont="1"/>
    <xf numFmtId="0" fontId="12" fillId="0" borderId="18" xfId="1" applyFont="1" applyBorder="1" applyAlignment="1">
      <alignment horizontal="center"/>
    </xf>
    <xf numFmtId="0" fontId="12" fillId="0" borderId="0" xfId="1" applyFont="1"/>
    <xf numFmtId="10" fontId="6" fillId="0" borderId="18" xfId="1" applyNumberFormat="1" applyFont="1" applyBorder="1" applyAlignment="1">
      <alignment horizontal="center"/>
    </xf>
    <xf numFmtId="10" fontId="6" fillId="0" borderId="0" xfId="1" applyNumberFormat="1" applyFont="1" applyAlignment="1">
      <alignment horizontal="center"/>
    </xf>
    <xf numFmtId="10" fontId="6" fillId="0" borderId="19" xfId="1" applyNumberFormat="1" applyFont="1" applyBorder="1" applyAlignment="1">
      <alignment horizontal="center"/>
    </xf>
    <xf numFmtId="0" fontId="12" fillId="0" borderId="0" xfId="1" applyFont="1" applyAlignment="1">
      <alignment vertical="center"/>
    </xf>
    <xf numFmtId="0" fontId="12" fillId="0" borderId="0" xfId="1" applyFont="1" applyAlignment="1">
      <alignment vertical="center" wrapText="1"/>
    </xf>
    <xf numFmtId="0" fontId="12" fillId="0" borderId="0" xfId="1" applyFont="1" applyAlignment="1">
      <alignment horizontal="left" vertical="center"/>
    </xf>
    <xf numFmtId="0" fontId="12" fillId="0" borderId="0" xfId="1" applyFont="1" applyAlignment="1">
      <alignment horizontal="left"/>
    </xf>
    <xf numFmtId="0" fontId="5" fillId="0" borderId="0" xfId="1" applyFont="1" applyAlignment="1">
      <alignment horizontal="left"/>
    </xf>
    <xf numFmtId="0" fontId="0" fillId="0" borderId="6" xfId="0" applyBorder="1" applyAlignment="1">
      <alignment horizontal="right"/>
    </xf>
  </cellXfs>
  <cellStyles count="3">
    <cellStyle name="Hyperlink" xfId="2" builtinId="8"/>
    <cellStyle name="Normal" xfId="0" builtinId="0"/>
    <cellStyle name="Normal 2" xfId="1" xr:uid="{8BF09FDB-83C0-4742-AC2C-10A44449735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xdr:from>
      <xdr:col>0</xdr:col>
      <xdr:colOff>38100</xdr:colOff>
      <xdr:row>82</xdr:row>
      <xdr:rowOff>7620</xdr:rowOff>
    </xdr:from>
    <xdr:to>
      <xdr:col>3</xdr:col>
      <xdr:colOff>765810</xdr:colOff>
      <xdr:row>93</xdr:row>
      <xdr:rowOff>121920</xdr:rowOff>
    </xdr:to>
    <xdr:sp macro="" textlink="">
      <xdr:nvSpPr>
        <xdr:cNvPr id="2" name="TextBox 1">
          <a:extLst>
            <a:ext uri="{FF2B5EF4-FFF2-40B4-BE49-F238E27FC236}">
              <a16:creationId xmlns:a16="http://schemas.microsoft.com/office/drawing/2014/main" id="{56538BF6-F794-4C17-AEB4-82C2F2EECFC6}"/>
            </a:ext>
          </a:extLst>
        </xdr:cNvPr>
        <xdr:cNvSpPr txBox="1"/>
      </xdr:nvSpPr>
      <xdr:spPr>
        <a:xfrm>
          <a:off x="38100" y="12847320"/>
          <a:ext cx="7867650" cy="21259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Notes: </a:t>
          </a:r>
        </a:p>
        <a:p>
          <a:endParaRPr lang="en-US" sz="1100"/>
        </a:p>
        <a:p>
          <a:pPr marL="171450" indent="-171450">
            <a:buFont typeface="Wingdings" panose="05000000000000000000" pitchFamily="2" charset="2"/>
            <a:buChar char="§"/>
          </a:pPr>
          <a:r>
            <a:rPr lang="en-US" sz="1100" baseline="0"/>
            <a:t>The Unqualified Account Growth Factor is a multiplier for the Qualified account growth rate. The intent here is to allow for more tax-sensitive investments that tend to have lower growth rates. It will not be very interesting unless you expect to have a relatively high unqualified balanace.</a:t>
          </a:r>
        </a:p>
        <a:p>
          <a:pPr marL="171450" indent="-171450">
            <a:buFont typeface="Wingdings" panose="05000000000000000000" pitchFamily="2" charset="2"/>
            <a:buChar char="§"/>
          </a:pPr>
          <a:r>
            <a:rPr lang="en-US" sz="1100" baseline="0"/>
            <a:t>The Roth Conversion Optimization mechanism requires that the Roth Conversion Mode Factor be the first varying factor for a group performing Roth Optimization.  It  also requires that the first choice be "Optimize"</a:t>
          </a:r>
        </a:p>
        <a:p>
          <a:pPr marL="171450" indent="-171450">
            <a:buFont typeface="Wingdings" panose="05000000000000000000" pitchFamily="2" charset="2"/>
            <a:buChar char="§"/>
          </a:pPr>
          <a:r>
            <a:rPr lang="en-US" sz="1100" baseline="0"/>
            <a:t>The Qualified Account Value Weight factor conists of a constant part and a part that is scaled based on the fraction of the original IRA that remains. This allows the 'effective' value of IRA to increase as they get smaller (when they aren't as likely to push one to higher brackets)</a:t>
          </a:r>
        </a:p>
        <a:p>
          <a:pPr marL="171450" indent="-171450">
            <a:buFont typeface="Wingdings" panose="05000000000000000000" pitchFamily="2" charset="2"/>
            <a:buChar char="§"/>
          </a:pPr>
          <a:r>
            <a:rPr lang="en-US" sz="1100" baseline="0"/>
            <a:t>If a group name is proceeded by a '#', that line is ignored</a:t>
          </a:r>
        </a:p>
        <a:p>
          <a:endParaRPr lang="en-US" sz="1100" baseline="0"/>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129540</xdr:colOff>
      <xdr:row>0</xdr:row>
      <xdr:rowOff>60960</xdr:rowOff>
    </xdr:from>
    <xdr:to>
      <xdr:col>0</xdr:col>
      <xdr:colOff>1402080</xdr:colOff>
      <xdr:row>0</xdr:row>
      <xdr:rowOff>304800</xdr:rowOff>
    </xdr:to>
    <xdr:sp macro="[0]!ShowCreateScenarios" textlink="">
      <xdr:nvSpPr>
        <xdr:cNvPr id="2" name="Rectangle: Beveled 1">
          <a:extLst>
            <a:ext uri="{FF2B5EF4-FFF2-40B4-BE49-F238E27FC236}">
              <a16:creationId xmlns:a16="http://schemas.microsoft.com/office/drawing/2014/main" id="{7BAE0F0B-5CA3-4E61-B03A-3D80C6AEE944}"/>
            </a:ext>
          </a:extLst>
        </xdr:cNvPr>
        <xdr:cNvSpPr/>
      </xdr:nvSpPr>
      <xdr:spPr>
        <a:xfrm>
          <a:off x="129540" y="60960"/>
          <a:ext cx="1272540" cy="24384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n-US" sz="1100"/>
            <a:t>Create Scenarios</a:t>
          </a:r>
        </a:p>
      </xdr:txBody>
    </xdr:sp>
    <xdr:clientData/>
  </xdr:twoCellAnchor>
  <xdr:twoCellAnchor>
    <xdr:from>
      <xdr:col>0</xdr:col>
      <xdr:colOff>129540</xdr:colOff>
      <xdr:row>0</xdr:row>
      <xdr:rowOff>373380</xdr:rowOff>
    </xdr:from>
    <xdr:to>
      <xdr:col>0</xdr:col>
      <xdr:colOff>1398270</xdr:colOff>
      <xdr:row>0</xdr:row>
      <xdr:rowOff>601980</xdr:rowOff>
    </xdr:to>
    <xdr:sp macro="[0]!ShowRunScenarios" textlink="">
      <xdr:nvSpPr>
        <xdr:cNvPr id="3" name="Rectangle: Beveled 2">
          <a:extLst>
            <a:ext uri="{FF2B5EF4-FFF2-40B4-BE49-F238E27FC236}">
              <a16:creationId xmlns:a16="http://schemas.microsoft.com/office/drawing/2014/main" id="{BBAF2984-F0B2-4A8B-8781-C7AD222F07A7}"/>
            </a:ext>
          </a:extLst>
        </xdr:cNvPr>
        <xdr:cNvSpPr/>
      </xdr:nvSpPr>
      <xdr:spPr>
        <a:xfrm>
          <a:off x="129540" y="373380"/>
          <a:ext cx="1268730" cy="2286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n-US" sz="1100"/>
            <a:t>Run Scenarios</a:t>
          </a:r>
        </a:p>
      </xdr:txBody>
    </xdr:sp>
    <xdr:clientData/>
  </xdr:twoCellAnchor>
  <xdr:twoCellAnchor>
    <xdr:from>
      <xdr:col>0</xdr:col>
      <xdr:colOff>129540</xdr:colOff>
      <xdr:row>0</xdr:row>
      <xdr:rowOff>670560</xdr:rowOff>
    </xdr:from>
    <xdr:to>
      <xdr:col>0</xdr:col>
      <xdr:colOff>1398270</xdr:colOff>
      <xdr:row>0</xdr:row>
      <xdr:rowOff>880110</xdr:rowOff>
    </xdr:to>
    <xdr:sp macro="[0]!ShowVisibility" textlink="">
      <xdr:nvSpPr>
        <xdr:cNvPr id="4" name="Rectangle: Beveled 3">
          <a:extLst>
            <a:ext uri="{FF2B5EF4-FFF2-40B4-BE49-F238E27FC236}">
              <a16:creationId xmlns:a16="http://schemas.microsoft.com/office/drawing/2014/main" id="{A7C151F7-6223-4670-98F7-BAB7ABDA45CE}"/>
            </a:ext>
          </a:extLst>
        </xdr:cNvPr>
        <xdr:cNvSpPr/>
      </xdr:nvSpPr>
      <xdr:spPr>
        <a:xfrm>
          <a:off x="129540" y="670560"/>
          <a:ext cx="1268730" cy="20955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lang="en-US" sz="1100"/>
            <a:t>Visibility</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xdr:row>
      <xdr:rowOff>58270</xdr:rowOff>
    </xdr:from>
    <xdr:to>
      <xdr:col>2</xdr:col>
      <xdr:colOff>121024</xdr:colOff>
      <xdr:row>2</xdr:row>
      <xdr:rowOff>116541</xdr:rowOff>
    </xdr:to>
    <xdr:sp macro="[0]!DoSolveModel" textlink="">
      <xdr:nvSpPr>
        <xdr:cNvPr id="2" name="Rectangle: Beveled 1">
          <a:extLst>
            <a:ext uri="{FF2B5EF4-FFF2-40B4-BE49-F238E27FC236}">
              <a16:creationId xmlns:a16="http://schemas.microsoft.com/office/drawing/2014/main" id="{AB35AF01-B8F9-471A-8EA2-BDC580A06BC6}"/>
            </a:ext>
          </a:extLst>
        </xdr:cNvPr>
        <xdr:cNvSpPr/>
      </xdr:nvSpPr>
      <xdr:spPr>
        <a:xfrm>
          <a:off x="1" y="260200"/>
          <a:ext cx="1187823" cy="248771"/>
        </a:xfrm>
        <a:prstGeom prst="bevel">
          <a:avLst/>
        </a:prstGeom>
        <a:solidFill>
          <a:srgbClr val="4472C4"/>
        </a:solidFill>
        <a:ln w="12700" cap="flat" cmpd="sng" algn="ctr">
          <a:solidFill>
            <a:srgbClr val="4472C4">
              <a:shade val="15000"/>
            </a:srgbClr>
          </a:solidFill>
          <a:prstDash val="solid"/>
          <a:miter lim="800000"/>
        </a:ln>
        <a:effectLst/>
      </xdr:spPr>
      <xdr:txBody>
        <a:bodyPr vertOverflow="clip" horzOverflow="clip" rtlCol="0" anchor="ctr" anchorCtr="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panose="020F0502020204030204"/>
              <a:ea typeface="+mn-ea"/>
              <a:cs typeface="+mn-cs"/>
            </a:rPr>
            <a:t>Solve Model</a:t>
          </a:r>
        </a:p>
      </xdr:txBody>
    </xdr:sp>
    <xdr:clientData/>
  </xdr:twoCellAnchor>
  <xdr:twoCellAnchor>
    <xdr:from>
      <xdr:col>0</xdr:col>
      <xdr:colOff>1</xdr:colOff>
      <xdr:row>2</xdr:row>
      <xdr:rowOff>260959</xdr:rowOff>
    </xdr:from>
    <xdr:to>
      <xdr:col>2</xdr:col>
      <xdr:colOff>129989</xdr:colOff>
      <xdr:row>2</xdr:row>
      <xdr:rowOff>519953</xdr:rowOff>
    </xdr:to>
    <xdr:sp macro="[0]!ShowCoreVisibility" textlink="">
      <xdr:nvSpPr>
        <xdr:cNvPr id="3" name="Rectangle: Beveled 2">
          <a:extLst>
            <a:ext uri="{FF2B5EF4-FFF2-40B4-BE49-F238E27FC236}">
              <a16:creationId xmlns:a16="http://schemas.microsoft.com/office/drawing/2014/main" id="{76DAD2A9-B741-433C-B819-85C391B5B6F3}"/>
            </a:ext>
          </a:extLst>
        </xdr:cNvPr>
        <xdr:cNvSpPr/>
      </xdr:nvSpPr>
      <xdr:spPr>
        <a:xfrm>
          <a:off x="1" y="653389"/>
          <a:ext cx="1196788" cy="258994"/>
        </a:xfrm>
        <a:prstGeom prst="bevel">
          <a:avLst/>
        </a:prstGeom>
        <a:solidFill>
          <a:srgbClr val="4472C4"/>
        </a:solidFill>
        <a:ln w="12700" cap="flat" cmpd="sng" algn="ctr">
          <a:solidFill>
            <a:srgbClr val="4472C4">
              <a:shade val="15000"/>
            </a:srgbClr>
          </a:solidFill>
          <a:prstDash val="solid"/>
          <a:miter lim="800000"/>
        </a:ln>
        <a:effectLst/>
      </xdr:spPr>
      <xdr:txBody>
        <a:bodyPr vertOverflow="clip" horzOverflow="clip" rtlCol="0" anchor="ctr" anchorCtr="1"/>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panose="020F0502020204030204"/>
              <a:ea typeface="+mn-ea"/>
              <a:cs typeface="+mn-cs"/>
            </a:rPr>
            <a:t>Column Visibility</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636270</xdr:colOff>
      <xdr:row>0</xdr:row>
      <xdr:rowOff>125730</xdr:rowOff>
    </xdr:from>
    <xdr:to>
      <xdr:col>12</xdr:col>
      <xdr:colOff>133350</xdr:colOff>
      <xdr:row>27</xdr:row>
      <xdr:rowOff>114300</xdr:rowOff>
    </xdr:to>
    <xdr:sp macro="" textlink="">
      <xdr:nvSpPr>
        <xdr:cNvPr id="2" name="TextBox 1">
          <a:extLst>
            <a:ext uri="{FF2B5EF4-FFF2-40B4-BE49-F238E27FC236}">
              <a16:creationId xmlns:a16="http://schemas.microsoft.com/office/drawing/2014/main" id="{0C07099A-C0E3-BF03-AFCB-4BFDFAA92408}"/>
            </a:ext>
          </a:extLst>
        </xdr:cNvPr>
        <xdr:cNvSpPr txBox="1"/>
      </xdr:nvSpPr>
      <xdr:spPr>
        <a:xfrm>
          <a:off x="636270" y="125730"/>
          <a:ext cx="7178040" cy="49263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JRTN Version 1.0</a:t>
          </a:r>
        </a:p>
        <a:p>
          <a:r>
            <a:rPr lang="en-US" sz="1100"/>
            <a:t>Copyright</a:t>
          </a:r>
          <a:r>
            <a:rPr lang="en-US" sz="1100" baseline="0"/>
            <a:t>(C) - 2025, Steven Gardell</a:t>
          </a:r>
        </a:p>
        <a:p>
          <a:r>
            <a:rPr lang="en-US" sz="1100" baseline="0"/>
            <a:t>This workbook and the associated VBA code are released via the Apache V2.0 license</a:t>
          </a:r>
        </a:p>
        <a:p>
          <a:endParaRPr lang="en-US" sz="1100" baseline="0"/>
        </a:p>
        <a:p>
          <a:r>
            <a:rPr lang="en-US" sz="1100"/>
            <a:t>This workbook consists of a worksheet:</a:t>
          </a:r>
          <a:r>
            <a:rPr lang="en-US" sz="1100" baseline="0"/>
            <a:t> </a:t>
          </a:r>
          <a:r>
            <a:rPr lang="en-US" sz="1100" b="1" baseline="0"/>
            <a:t>Model</a:t>
          </a:r>
          <a:r>
            <a:rPr lang="en-US" sz="1100"/>
            <a:t> that models</a:t>
          </a:r>
          <a:r>
            <a:rPr lang="en-US" sz="1100" baseline="0"/>
            <a:t> retirement income cashflow and then a set of auxiliary worksheets that facilite "what if" analysis based on the development and comparision of different scenarios. The focus is on individuals in or approaching retirement where the financial situation entering retirement is more or less known. It is intended to help answer questions about Social Security draw date, Roth Conversions, how much you can afford to spend, etc.</a:t>
          </a:r>
        </a:p>
        <a:p>
          <a:endParaRPr lang="en-US" sz="1100" baseline="0"/>
        </a:p>
        <a:p>
          <a:r>
            <a:rPr lang="en-US" sz="1100" baseline="0">
              <a:solidFill>
                <a:schemeClr val="dk1"/>
              </a:solidFill>
              <a:effectLst/>
              <a:latin typeface="+mn-lt"/>
              <a:ea typeface="+mn-ea"/>
              <a:cs typeface="+mn-cs"/>
            </a:rPr>
            <a:t>Many more details are available in the associated "Just Run the Numbers" book and at JustRunTheNumbers.com</a:t>
          </a:r>
        </a:p>
        <a:p>
          <a:endParaRPr lang="en-US" sz="1100" baseline="0">
            <a:solidFill>
              <a:schemeClr val="dk1"/>
            </a:solidFill>
            <a:effectLst/>
            <a:latin typeface="+mn-lt"/>
            <a:ea typeface="+mn-ea"/>
            <a:cs typeface="+mn-cs"/>
          </a:endParaRPr>
        </a:p>
        <a:p>
          <a:r>
            <a:rPr lang="en-US" sz="1100" baseline="0">
              <a:solidFill>
                <a:schemeClr val="dk1"/>
              </a:solidFill>
              <a:effectLst/>
              <a:latin typeface="+mn-lt"/>
              <a:ea typeface="+mn-ea"/>
              <a:cs typeface="+mn-cs"/>
            </a:rPr>
            <a:t>Change History</a:t>
          </a:r>
        </a:p>
        <a:p>
          <a:endParaRPr lang="en-US" sz="1100" baseline="0">
            <a:solidFill>
              <a:schemeClr val="dk1"/>
            </a:solidFill>
            <a:effectLst/>
            <a:latin typeface="+mn-lt"/>
            <a:ea typeface="+mn-ea"/>
            <a:cs typeface="+mn-cs"/>
          </a:endParaRPr>
        </a:p>
        <a:p>
          <a:r>
            <a:rPr lang="en-US" sz="1100" baseline="0">
              <a:solidFill>
                <a:schemeClr val="dk1"/>
              </a:solidFill>
              <a:effectLst/>
              <a:latin typeface="+mn-lt"/>
              <a:ea typeface="+mn-ea"/>
              <a:cs typeface="+mn-cs"/>
            </a:rPr>
            <a:t>V 0.0.X - First Friends and Family Releases (2024)</a:t>
          </a:r>
        </a:p>
        <a:p>
          <a:r>
            <a:rPr lang="en-US" sz="1100" baseline="0">
              <a:solidFill>
                <a:schemeClr val="dk1"/>
              </a:solidFill>
              <a:effectLst/>
              <a:latin typeface="+mn-lt"/>
              <a:ea typeface="+mn-ea"/>
              <a:cs typeface="+mn-cs"/>
            </a:rPr>
            <a:t>V 0.1 - Added Net Investment Income tax and converted names to worksheet scoping</a:t>
          </a:r>
        </a:p>
        <a:p>
          <a:r>
            <a:rPr lang="en-US" sz="1100" baseline="0">
              <a:solidFill>
                <a:schemeClr val="dk1"/>
              </a:solidFill>
              <a:effectLst/>
              <a:latin typeface="+mn-lt"/>
              <a:ea typeface="+mn-ea"/>
              <a:cs typeface="+mn-cs"/>
            </a:rPr>
            <a:t>V 0.2 - Performance tuning, eliminated "Roth Payback" notion and various bug fixes. Features:</a:t>
          </a:r>
        </a:p>
        <a:p>
          <a:r>
            <a:rPr lang="en-US" sz="1100" baseline="0">
              <a:solidFill>
                <a:schemeClr val="dk1"/>
              </a:solidFill>
              <a:effectLst/>
              <a:latin typeface="+mn-lt"/>
              <a:ea typeface="+mn-ea"/>
              <a:cs typeface="+mn-cs"/>
            </a:rPr>
            <a:t>                  - Roth Analysis and Roth Optimization</a:t>
          </a:r>
        </a:p>
        <a:p>
          <a:r>
            <a:rPr lang="en-US" sz="1100" baseline="0">
              <a:solidFill>
                <a:schemeClr val="dk1"/>
              </a:solidFill>
              <a:effectLst/>
              <a:latin typeface="+mn-lt"/>
              <a:ea typeface="+mn-ea"/>
              <a:cs typeface="+mn-cs"/>
            </a:rPr>
            <a:t>                  - Profile Management</a:t>
          </a:r>
        </a:p>
        <a:p>
          <a:r>
            <a:rPr lang="en-US" sz="1100" baseline="0">
              <a:solidFill>
                <a:schemeClr val="dk1"/>
              </a:solidFill>
              <a:effectLst/>
              <a:latin typeface="+mn-lt"/>
              <a:ea typeface="+mn-ea"/>
              <a:cs typeface="+mn-cs"/>
            </a:rPr>
            <a:t>                  - Made max spending and Roth optimization scneario solution controls</a:t>
          </a:r>
        </a:p>
        <a:p>
          <a:r>
            <a:rPr lang="en-US" sz="1100" baseline="0">
              <a:solidFill>
                <a:schemeClr val="dk1"/>
              </a:solidFill>
              <a:effectLst/>
              <a:latin typeface="+mn-lt"/>
              <a:ea typeface="+mn-ea"/>
              <a:cs typeface="+mn-cs"/>
            </a:rPr>
            <a:t>                  - Eliminated hardcoded notions of worksheet names for Model, FactorTable, Scenarios, and StateTaxInfo</a:t>
          </a:r>
        </a:p>
        <a:p>
          <a:r>
            <a:rPr lang="en-US" sz="1100" baseline="0">
              <a:solidFill>
                <a:schemeClr val="dk1"/>
              </a:solidFill>
              <a:effectLst/>
              <a:latin typeface="+mn-lt"/>
              <a:ea typeface="+mn-ea"/>
              <a:cs typeface="+mn-cs"/>
            </a:rPr>
            <a:t>                  - Restructed Model sheet layout</a:t>
          </a:r>
        </a:p>
        <a:p>
          <a:r>
            <a:rPr lang="en-US" sz="1100" baseline="0">
              <a:solidFill>
                <a:schemeClr val="dk1"/>
              </a:solidFill>
              <a:effectLst/>
              <a:latin typeface="+mn-lt"/>
              <a:ea typeface="+mn-ea"/>
              <a:cs typeface="+mn-cs"/>
            </a:rPr>
            <a:t>V 1.0 - April 2025, First limited public release </a:t>
          </a:r>
        </a:p>
        <a:p>
          <a:r>
            <a:rPr lang="en-US" sz="1100" baseline="0">
              <a:solidFill>
                <a:schemeClr val="dk1"/>
              </a:solidFill>
              <a:effectLst/>
              <a:latin typeface="+mn-lt"/>
              <a:ea typeface="+mn-ea"/>
              <a:cs typeface="+mn-cs"/>
            </a:rPr>
            <a:t>                 - More graphical results </a:t>
          </a:r>
        </a:p>
        <a:p>
          <a:r>
            <a:rPr lang="en-US" sz="1100" baseline="0">
              <a:solidFill>
                <a:schemeClr val="dk1"/>
              </a:solidFill>
              <a:effectLst/>
              <a:latin typeface="+mn-lt"/>
              <a:ea typeface="+mn-ea"/>
              <a:cs typeface="+mn-cs"/>
            </a:rPr>
            <a:t>                 - Cleaned up publication mechanism</a:t>
          </a:r>
        </a:p>
        <a:p>
          <a:r>
            <a:rPr lang="en-US" sz="1100" baseline="0">
              <a:solidFill>
                <a:schemeClr val="dk1"/>
              </a:solidFill>
              <a:effectLst/>
              <a:latin typeface="+mn-lt"/>
              <a:ea typeface="+mn-ea"/>
              <a:cs typeface="+mn-cs"/>
            </a:rPr>
            <a:t>                 - Configurable "new tax law" date</a:t>
          </a:r>
        </a:p>
        <a:p>
          <a:r>
            <a:rPr lang="en-US" sz="1100" baseline="0">
              <a:solidFill>
                <a:schemeClr val="dk1"/>
              </a:solidFill>
              <a:effectLst/>
              <a:latin typeface="+mn-lt"/>
              <a:ea typeface="+mn-ea"/>
              <a:cs typeface="+mn-cs"/>
            </a:rPr>
            <a:t>                 - Cleaner seperation of model start vs inflation baseline year</a:t>
          </a:r>
        </a:p>
        <a:p>
          <a:r>
            <a:rPr lang="en-US" sz="1100" baseline="0">
              <a:solidFill>
                <a:schemeClr val="dk1"/>
              </a:solidFill>
              <a:effectLst/>
              <a:latin typeface="+mn-lt"/>
              <a:ea typeface="+mn-ea"/>
              <a:cs typeface="+mn-cs"/>
            </a:rPr>
            <a:t>                 - Added Dependent Parameter Mechanism</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209551</xdr:colOff>
      <xdr:row>0</xdr:row>
      <xdr:rowOff>293370</xdr:rowOff>
    </xdr:from>
    <xdr:to>
      <xdr:col>1</xdr:col>
      <xdr:colOff>2339340</xdr:colOff>
      <xdr:row>0</xdr:row>
      <xdr:rowOff>595122</xdr:rowOff>
    </xdr:to>
    <xdr:sp macro="[0]!ShowPrepareToDistbute" textlink="">
      <xdr:nvSpPr>
        <xdr:cNvPr id="2" name="Rectangle: Beveled 1">
          <a:extLst>
            <a:ext uri="{FF2B5EF4-FFF2-40B4-BE49-F238E27FC236}">
              <a16:creationId xmlns:a16="http://schemas.microsoft.com/office/drawing/2014/main" id="{FF733F3E-E43C-4485-B04A-6CE40A50D015}"/>
            </a:ext>
          </a:extLst>
        </xdr:cNvPr>
        <xdr:cNvSpPr/>
      </xdr:nvSpPr>
      <xdr:spPr>
        <a:xfrm>
          <a:off x="2514601" y="293370"/>
          <a:ext cx="2129789" cy="301752"/>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Prepare to Distribute</a:t>
          </a:r>
        </a:p>
      </xdr:txBody>
    </xdr:sp>
    <xdr:clientData/>
  </xdr:twoCellAnchor>
  <xdr:twoCellAnchor>
    <xdr:from>
      <xdr:col>1</xdr:col>
      <xdr:colOff>209550</xdr:colOff>
      <xdr:row>0</xdr:row>
      <xdr:rowOff>762000</xdr:rowOff>
    </xdr:from>
    <xdr:to>
      <xdr:col>1</xdr:col>
      <xdr:colOff>2350770</xdr:colOff>
      <xdr:row>0</xdr:row>
      <xdr:rowOff>1066800</xdr:rowOff>
    </xdr:to>
    <xdr:sp macro="[0]!ShowCompareScenarioWS" textlink="">
      <xdr:nvSpPr>
        <xdr:cNvPr id="3" name="Rectangle: Beveled 2">
          <a:extLst>
            <a:ext uri="{FF2B5EF4-FFF2-40B4-BE49-F238E27FC236}">
              <a16:creationId xmlns:a16="http://schemas.microsoft.com/office/drawing/2014/main" id="{94C75017-5604-49A0-B386-79A22FEA6F51}"/>
            </a:ext>
          </a:extLst>
        </xdr:cNvPr>
        <xdr:cNvSpPr/>
      </xdr:nvSpPr>
      <xdr:spPr>
        <a:xfrm>
          <a:off x="2438400" y="762000"/>
          <a:ext cx="214122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Compare Scenario</a:t>
          </a:r>
          <a:r>
            <a:rPr lang="en-US" sz="1100" baseline="0"/>
            <a:t> Worksheets ShowScenariosDollar Values</a:t>
          </a:r>
          <a:endParaRPr lang="en-US" sz="1100"/>
        </a:p>
      </xdr:txBody>
    </xdr:sp>
    <xdr:clientData/>
  </xdr:twoCellAnchor>
  <xdr:twoCellAnchor>
    <xdr:from>
      <xdr:col>1</xdr:col>
      <xdr:colOff>194310</xdr:colOff>
      <xdr:row>0</xdr:row>
      <xdr:rowOff>1261110</xdr:rowOff>
    </xdr:from>
    <xdr:to>
      <xdr:col>1</xdr:col>
      <xdr:colOff>2346960</xdr:colOff>
      <xdr:row>0</xdr:row>
      <xdr:rowOff>1565910</xdr:rowOff>
    </xdr:to>
    <xdr:sp macro="[0]!ShowCompareModel" textlink="">
      <xdr:nvSpPr>
        <xdr:cNvPr id="6" name="Rectangle: Beveled 5">
          <a:extLst>
            <a:ext uri="{FF2B5EF4-FFF2-40B4-BE49-F238E27FC236}">
              <a16:creationId xmlns:a16="http://schemas.microsoft.com/office/drawing/2014/main" id="{A97101A6-2C2E-4A28-8614-D9755CB20659}"/>
            </a:ext>
          </a:extLst>
        </xdr:cNvPr>
        <xdr:cNvSpPr/>
      </xdr:nvSpPr>
      <xdr:spPr>
        <a:xfrm>
          <a:off x="2423160" y="1261110"/>
          <a:ext cx="215265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Compare Model Worksheets WorkshCoreRollupeets</a:t>
          </a:r>
          <a:r>
            <a:rPr lang="en-US" sz="1100" baseline="0"/>
            <a:t> ShowScenariosDollar Values</a:t>
          </a:r>
          <a:endParaRPr lang="en-US" sz="1100"/>
        </a:p>
      </xdr:txBody>
    </xdr:sp>
    <xdr:clientData/>
  </xdr:twoCellAnchor>
  <xdr:twoCellAnchor>
    <xdr:from>
      <xdr:col>0</xdr:col>
      <xdr:colOff>72390</xdr:colOff>
      <xdr:row>0</xdr:row>
      <xdr:rowOff>285750</xdr:rowOff>
    </xdr:from>
    <xdr:to>
      <xdr:col>0</xdr:col>
      <xdr:colOff>2225040</xdr:colOff>
      <xdr:row>0</xdr:row>
      <xdr:rowOff>590550</xdr:rowOff>
    </xdr:to>
    <xdr:sp macro="[0]!ShowProfileRoth" textlink="">
      <xdr:nvSpPr>
        <xdr:cNvPr id="5" name="Rectangle: Beveled 4">
          <a:extLst>
            <a:ext uri="{FF2B5EF4-FFF2-40B4-BE49-F238E27FC236}">
              <a16:creationId xmlns:a16="http://schemas.microsoft.com/office/drawing/2014/main" id="{A9D17B39-8F56-46AA-85C9-A91378C83A75}"/>
            </a:ext>
          </a:extLst>
        </xdr:cNvPr>
        <xdr:cNvSpPr/>
      </xdr:nvSpPr>
      <xdr:spPr>
        <a:xfrm>
          <a:off x="72390" y="285750"/>
          <a:ext cx="215265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Roth Conversions</a:t>
          </a:r>
        </a:p>
      </xdr:txBody>
    </xdr:sp>
    <xdr:clientData/>
  </xdr:twoCellAnchor>
  <xdr:twoCellAnchor>
    <xdr:from>
      <xdr:col>0</xdr:col>
      <xdr:colOff>72390</xdr:colOff>
      <xdr:row>0</xdr:row>
      <xdr:rowOff>742950</xdr:rowOff>
    </xdr:from>
    <xdr:to>
      <xdr:col>0</xdr:col>
      <xdr:colOff>2228850</xdr:colOff>
      <xdr:row>0</xdr:row>
      <xdr:rowOff>1047750</xdr:rowOff>
    </xdr:to>
    <xdr:sp macro="[0]!ShowCompareScenarios" textlink="">
      <xdr:nvSpPr>
        <xdr:cNvPr id="7" name="Rectangle: Beveled 6">
          <a:extLst>
            <a:ext uri="{FF2B5EF4-FFF2-40B4-BE49-F238E27FC236}">
              <a16:creationId xmlns:a16="http://schemas.microsoft.com/office/drawing/2014/main" id="{973046D1-184D-40D0-A568-0363B058B23A}"/>
            </a:ext>
          </a:extLst>
        </xdr:cNvPr>
        <xdr:cNvSpPr/>
      </xdr:nvSpPr>
      <xdr:spPr>
        <a:xfrm>
          <a:off x="72390" y="742950"/>
          <a:ext cx="215646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Scenario</a:t>
          </a:r>
          <a:r>
            <a:rPr lang="en-US" sz="1100" baseline="0"/>
            <a:t> Comparision over Time</a:t>
          </a:r>
          <a:endParaRPr lang="en-US" sz="1100"/>
        </a:p>
      </xdr:txBody>
    </xdr:sp>
    <xdr:clientData/>
  </xdr:twoCellAnchor>
  <xdr:twoCellAnchor>
    <xdr:from>
      <xdr:col>1</xdr:col>
      <xdr:colOff>182880</xdr:colOff>
      <xdr:row>0</xdr:row>
      <xdr:rowOff>1741170</xdr:rowOff>
    </xdr:from>
    <xdr:to>
      <xdr:col>1</xdr:col>
      <xdr:colOff>2335530</xdr:colOff>
      <xdr:row>0</xdr:row>
      <xdr:rowOff>2045970</xdr:rowOff>
    </xdr:to>
    <xdr:sp macro="[0]!ShowPerfTest" textlink="">
      <xdr:nvSpPr>
        <xdr:cNvPr id="4" name="Rectangle: Beveled 3">
          <a:extLst>
            <a:ext uri="{FF2B5EF4-FFF2-40B4-BE49-F238E27FC236}">
              <a16:creationId xmlns:a16="http://schemas.microsoft.com/office/drawing/2014/main" id="{128606D4-9C9F-4C9B-8DEA-FAACE18CB425}"/>
            </a:ext>
          </a:extLst>
        </xdr:cNvPr>
        <xdr:cNvSpPr/>
      </xdr:nvSpPr>
      <xdr:spPr>
        <a:xfrm>
          <a:off x="2411730" y="1741170"/>
          <a:ext cx="215265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Performance</a:t>
          </a:r>
          <a:r>
            <a:rPr lang="en-US" sz="1100" baseline="0"/>
            <a:t> Test ShowScenariosDollar Values</a:t>
          </a:r>
          <a:endParaRPr lang="en-US" sz="1100"/>
        </a:p>
      </xdr:txBody>
    </xdr:sp>
    <xdr:clientData/>
  </xdr:twoCellAnchor>
  <xdr:twoCellAnchor>
    <xdr:from>
      <xdr:col>1</xdr:col>
      <xdr:colOff>186690</xdr:colOff>
      <xdr:row>0</xdr:row>
      <xdr:rowOff>2236470</xdr:rowOff>
    </xdr:from>
    <xdr:to>
      <xdr:col>1</xdr:col>
      <xdr:colOff>2339340</xdr:colOff>
      <xdr:row>0</xdr:row>
      <xdr:rowOff>2541270</xdr:rowOff>
    </xdr:to>
    <xdr:sp macro="[0]!ShowManageProfiles" textlink="">
      <xdr:nvSpPr>
        <xdr:cNvPr id="9" name="Rectangle: Beveled 8">
          <a:extLst>
            <a:ext uri="{FF2B5EF4-FFF2-40B4-BE49-F238E27FC236}">
              <a16:creationId xmlns:a16="http://schemas.microsoft.com/office/drawing/2014/main" id="{87F2EE7D-7F54-4F18-BF5B-B6199254F40A}"/>
            </a:ext>
          </a:extLst>
        </xdr:cNvPr>
        <xdr:cNvSpPr/>
      </xdr:nvSpPr>
      <xdr:spPr>
        <a:xfrm>
          <a:off x="2415540" y="2236470"/>
          <a:ext cx="215265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Manage Profiles</a:t>
          </a:r>
        </a:p>
      </xdr:txBody>
    </xdr:sp>
    <xdr:clientData/>
  </xdr:twoCellAnchor>
  <xdr:twoCellAnchor>
    <xdr:from>
      <xdr:col>1</xdr:col>
      <xdr:colOff>182880</xdr:colOff>
      <xdr:row>0</xdr:row>
      <xdr:rowOff>2689860</xdr:rowOff>
    </xdr:from>
    <xdr:to>
      <xdr:col>1</xdr:col>
      <xdr:colOff>2335530</xdr:colOff>
      <xdr:row>0</xdr:row>
      <xdr:rowOff>2994660</xdr:rowOff>
    </xdr:to>
    <xdr:sp macro="[0]!ShowSolveMultScenarios" textlink="">
      <xdr:nvSpPr>
        <xdr:cNvPr id="8" name="Rectangle: Beveled 7">
          <a:extLst>
            <a:ext uri="{FF2B5EF4-FFF2-40B4-BE49-F238E27FC236}">
              <a16:creationId xmlns:a16="http://schemas.microsoft.com/office/drawing/2014/main" id="{D943F83A-FEA2-4458-AC1C-0E87A9761BE1}"/>
            </a:ext>
          </a:extLst>
        </xdr:cNvPr>
        <xdr:cNvSpPr/>
      </xdr:nvSpPr>
      <xdr:spPr>
        <a:xfrm>
          <a:off x="2487930" y="2689860"/>
          <a:ext cx="2152650" cy="304800"/>
        </a:xfrm>
        <a:prstGeom prst="bevel">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n-US" sz="1100"/>
            <a:t>Solve Scenario Worksheets</a:t>
          </a:r>
        </a:p>
      </xdr:txBody>
    </xdr:sp>
    <xdr:clientData/>
  </xdr:twoCellAnchor>
  <xdr:twoCellAnchor>
    <xdr:from>
      <xdr:col>0</xdr:col>
      <xdr:colOff>80010</xdr:colOff>
      <xdr:row>0</xdr:row>
      <xdr:rowOff>1264920</xdr:rowOff>
    </xdr:from>
    <xdr:to>
      <xdr:col>0</xdr:col>
      <xdr:colOff>2236470</xdr:colOff>
      <xdr:row>0</xdr:row>
      <xdr:rowOff>1569720</xdr:rowOff>
    </xdr:to>
    <xdr:sp macro="[0]!ShowDataComponents" textlink="">
      <xdr:nvSpPr>
        <xdr:cNvPr id="13" name="Rectangle: Beveled 12">
          <a:extLst>
            <a:ext uri="{FF2B5EF4-FFF2-40B4-BE49-F238E27FC236}">
              <a16:creationId xmlns:a16="http://schemas.microsoft.com/office/drawing/2014/main" id="{F5CA4660-3E54-4120-8481-5DBA14E41F9A}"/>
            </a:ext>
          </a:extLst>
        </xdr:cNvPr>
        <xdr:cNvSpPr/>
      </xdr:nvSpPr>
      <xdr:spPr>
        <a:xfrm>
          <a:off x="80010" y="1264920"/>
          <a:ext cx="2156460" cy="304800"/>
        </a:xfrm>
        <a:prstGeom prst="bevel">
          <a:avLst/>
        </a:prstGeom>
        <a:solidFill>
          <a:srgbClr val="4472C4"/>
        </a:solidFill>
        <a:ln w="12700" cap="flat" cmpd="sng" algn="ctr">
          <a:solidFill>
            <a:srgbClr val="4472C4">
              <a:shade val="15000"/>
            </a:srgbClr>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 lastClr="FFFFFF"/>
              </a:solidFill>
              <a:effectLst/>
              <a:uLnTx/>
              <a:uFillTx/>
              <a:latin typeface="Calibri" panose="020F0502020204030204"/>
              <a:ea typeface="+mn-ea"/>
              <a:cs typeface="+mn-cs"/>
            </a:rPr>
            <a:t>Component Values over Time</a:t>
          </a: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D2C3C-3102-445D-AAB6-BB80832A96B7}">
  <sheetPr codeName="Sheet31"/>
  <dimension ref="A1:X81"/>
  <sheetViews>
    <sheetView topLeftCell="A47" workbookViewId="0">
      <selection activeCell="H91" sqref="H91"/>
    </sheetView>
  </sheetViews>
  <sheetFormatPr defaultRowHeight="14.4" x14ac:dyDescent="0.55000000000000004"/>
  <cols>
    <col min="1" max="1" width="19.9453125" customWidth="1"/>
    <col min="2" max="2" width="7.5234375" customWidth="1"/>
    <col min="3" max="3" width="23" style="21" customWidth="1"/>
    <col min="4" max="4" width="13.3671875" customWidth="1"/>
    <col min="5" max="5" width="7.26171875" customWidth="1"/>
    <col min="6" max="7" width="7.3125" customWidth="1"/>
    <col min="8" max="8" width="8.7890625" customWidth="1"/>
    <col min="9" max="9" width="8.15625" customWidth="1"/>
    <col min="10" max="10" width="6.3125" customWidth="1"/>
    <col min="11" max="11" width="6.41796875" customWidth="1"/>
    <col min="12" max="12" width="6.734375" customWidth="1"/>
    <col min="13" max="13" width="6.62890625" customWidth="1"/>
    <col min="14" max="14" width="14.3125" customWidth="1"/>
    <col min="15" max="15" width="15" customWidth="1"/>
  </cols>
  <sheetData>
    <row r="1" spans="1:24" s="1" customFormat="1" ht="31.8" customHeight="1" x14ac:dyDescent="0.55000000000000004">
      <c r="A1" s="2" t="s">
        <v>45</v>
      </c>
      <c r="B1" s="1" t="s">
        <v>97</v>
      </c>
      <c r="C1" s="215" t="s">
        <v>205</v>
      </c>
      <c r="D1" s="2" t="s">
        <v>206</v>
      </c>
      <c r="E1" s="2" t="s">
        <v>96</v>
      </c>
      <c r="F1" s="2" t="s">
        <v>819</v>
      </c>
      <c r="G1" s="1" t="s">
        <v>524</v>
      </c>
      <c r="H1" s="2"/>
      <c r="I1" s="2"/>
      <c r="J1" s="2"/>
      <c r="K1" s="2"/>
      <c r="L1" s="2"/>
      <c r="M1" s="2"/>
    </row>
    <row r="2" spans="1:24" s="1" customFormat="1" ht="15.3" customHeight="1" x14ac:dyDescent="0.55000000000000004">
      <c r="B2" t="s">
        <v>100</v>
      </c>
      <c r="C2" s="21" t="s">
        <v>818</v>
      </c>
      <c r="D2" t="s">
        <v>208</v>
      </c>
      <c r="E2">
        <v>30</v>
      </c>
      <c r="F2"/>
      <c r="G2"/>
      <c r="H2">
        <v>2025</v>
      </c>
    </row>
    <row r="3" spans="1:24" s="1" customFormat="1" ht="15.3" customHeight="1" x14ac:dyDescent="0.55000000000000004">
      <c r="A3" s="1" t="s">
        <v>44</v>
      </c>
      <c r="B3" s="1" t="s">
        <v>98</v>
      </c>
      <c r="C3" s="21" t="s">
        <v>633</v>
      </c>
      <c r="D3" s="1" t="s">
        <v>207</v>
      </c>
      <c r="E3" s="1">
        <v>3</v>
      </c>
      <c r="H3" s="39">
        <v>0.05</v>
      </c>
      <c r="I3" s="39">
        <v>0.03</v>
      </c>
      <c r="J3" s="68">
        <v>7.3999999999999996E-2</v>
      </c>
    </row>
    <row r="4" spans="1:24" s="1" customFormat="1" ht="15.3" customHeight="1" x14ac:dyDescent="0.55000000000000004">
      <c r="A4" s="2" t="s">
        <v>820</v>
      </c>
      <c r="B4" t="s">
        <v>100</v>
      </c>
      <c r="C4" s="204" t="s">
        <v>818</v>
      </c>
      <c r="D4" s="4" t="s">
        <v>208</v>
      </c>
      <c r="E4" s="4">
        <v>30</v>
      </c>
      <c r="F4" s="4"/>
      <c r="G4"/>
      <c r="H4" s="4">
        <v>2025</v>
      </c>
      <c r="I4" s="2">
        <v>2027</v>
      </c>
      <c r="J4" s="2">
        <v>2029</v>
      </c>
      <c r="K4" s="2"/>
      <c r="L4" s="2"/>
      <c r="M4" s="2"/>
    </row>
    <row r="5" spans="1:24" x14ac:dyDescent="0.55000000000000004">
      <c r="B5" s="1" t="s">
        <v>100</v>
      </c>
      <c r="C5" s="21" t="s">
        <v>631</v>
      </c>
      <c r="D5" s="1" t="s">
        <v>208</v>
      </c>
      <c r="E5" s="1">
        <v>27</v>
      </c>
      <c r="F5" s="1"/>
      <c r="H5" s="1" t="s">
        <v>581</v>
      </c>
      <c r="J5" s="8"/>
      <c r="K5" s="35"/>
      <c r="L5" s="8"/>
      <c r="M5" s="8"/>
      <c r="N5" s="8"/>
      <c r="O5" s="8"/>
    </row>
    <row r="6" spans="1:24" x14ac:dyDescent="0.55000000000000004">
      <c r="A6" t="s">
        <v>586</v>
      </c>
      <c r="B6" s="1" t="s">
        <v>100</v>
      </c>
      <c r="C6" s="21" t="s">
        <v>631</v>
      </c>
      <c r="D6" s="1" t="s">
        <v>208</v>
      </c>
      <c r="E6" s="1">
        <v>27</v>
      </c>
      <c r="F6" s="1"/>
      <c r="H6" s="1" t="s">
        <v>580</v>
      </c>
      <c r="I6" s="8" t="s">
        <v>593</v>
      </c>
      <c r="J6" s="8" t="s">
        <v>587</v>
      </c>
      <c r="K6" s="8" t="s">
        <v>582</v>
      </c>
      <c r="L6" s="8" t="s">
        <v>629</v>
      </c>
      <c r="M6" s="8" t="s">
        <v>630</v>
      </c>
    </row>
    <row r="7" spans="1:24" x14ac:dyDescent="0.55000000000000004">
      <c r="B7" s="1" t="s">
        <v>100</v>
      </c>
      <c r="C7" s="21" t="s">
        <v>632</v>
      </c>
      <c r="D7" s="1" t="s">
        <v>208</v>
      </c>
      <c r="E7" s="1">
        <v>28</v>
      </c>
      <c r="F7" s="1"/>
      <c r="H7" s="1" t="s">
        <v>581</v>
      </c>
      <c r="I7" s="1"/>
      <c r="J7" s="8"/>
      <c r="K7" s="8"/>
      <c r="L7" s="8"/>
      <c r="M7" s="8"/>
      <c r="N7" s="8"/>
      <c r="O7" s="8"/>
    </row>
    <row r="8" spans="1:24" x14ac:dyDescent="0.55000000000000004">
      <c r="A8" s="2" t="s">
        <v>820</v>
      </c>
      <c r="B8" s="1" t="s">
        <v>100</v>
      </c>
      <c r="C8" s="204" t="s">
        <v>632</v>
      </c>
      <c r="D8" s="2" t="s">
        <v>208</v>
      </c>
      <c r="E8" s="2">
        <v>28</v>
      </c>
      <c r="F8" s="2"/>
      <c r="H8" s="2" t="s">
        <v>621</v>
      </c>
      <c r="I8" s="2"/>
      <c r="J8" s="7"/>
      <c r="K8" s="7"/>
      <c r="L8" s="7"/>
      <c r="M8" s="7"/>
      <c r="N8" s="8"/>
      <c r="O8" s="8"/>
    </row>
    <row r="9" spans="1:24" x14ac:dyDescent="0.55000000000000004">
      <c r="A9" t="s">
        <v>627</v>
      </c>
      <c r="B9" s="1" t="s">
        <v>100</v>
      </c>
      <c r="C9" s="21" t="s">
        <v>632</v>
      </c>
      <c r="D9" s="1" t="s">
        <v>208</v>
      </c>
      <c r="E9" s="1">
        <v>28</v>
      </c>
      <c r="F9" s="1"/>
      <c r="H9" s="1" t="s">
        <v>621</v>
      </c>
      <c r="I9" s="8"/>
      <c r="J9" s="8"/>
      <c r="K9" s="8"/>
      <c r="L9" s="8"/>
      <c r="M9" s="8"/>
      <c r="N9" s="8"/>
      <c r="O9" s="8"/>
    </row>
    <row r="10" spans="1:24" x14ac:dyDescent="0.55000000000000004">
      <c r="A10" t="s">
        <v>754</v>
      </c>
      <c r="B10" s="1" t="s">
        <v>100</v>
      </c>
      <c r="C10" s="21" t="s">
        <v>632</v>
      </c>
      <c r="D10" s="1" t="s">
        <v>208</v>
      </c>
      <c r="E10" s="1">
        <v>28</v>
      </c>
      <c r="F10" s="1"/>
      <c r="H10" s="1" t="s">
        <v>621</v>
      </c>
      <c r="I10" s="8"/>
      <c r="J10" s="8"/>
      <c r="K10" s="8"/>
      <c r="L10" s="8"/>
      <c r="M10" s="8"/>
      <c r="N10" s="8"/>
      <c r="O10" s="8"/>
    </row>
    <row r="11" spans="1:24" x14ac:dyDescent="0.55000000000000004">
      <c r="A11" s="2" t="s">
        <v>820</v>
      </c>
      <c r="B11" s="1" t="s">
        <v>98</v>
      </c>
      <c r="C11" s="204" t="s">
        <v>633</v>
      </c>
      <c r="D11" s="2" t="s">
        <v>207</v>
      </c>
      <c r="E11" s="2">
        <v>3</v>
      </c>
      <c r="F11" s="2"/>
      <c r="G11" s="1"/>
      <c r="H11" s="210">
        <v>0.05</v>
      </c>
      <c r="I11" s="211">
        <v>7.3999999999999996E-2</v>
      </c>
      <c r="J11" s="7"/>
      <c r="K11" s="7"/>
      <c r="L11" s="7"/>
      <c r="M11" s="7"/>
      <c r="N11" s="8"/>
      <c r="O11" s="8"/>
    </row>
    <row r="12" spans="1:24" ht="15" customHeight="1" x14ac:dyDescent="0.55000000000000004">
      <c r="A12" s="1" t="s">
        <v>586</v>
      </c>
      <c r="B12" s="1" t="s">
        <v>98</v>
      </c>
      <c r="C12" s="21" t="s">
        <v>633</v>
      </c>
      <c r="D12" s="1" t="s">
        <v>207</v>
      </c>
      <c r="E12" s="1">
        <v>3</v>
      </c>
      <c r="F12" s="1"/>
      <c r="G12" s="1"/>
      <c r="H12" s="39">
        <v>0.05</v>
      </c>
      <c r="I12" s="68">
        <v>7.3999999999999996E-2</v>
      </c>
    </row>
    <row r="13" spans="1:24" ht="15" customHeight="1" x14ac:dyDescent="0.55000000000000004">
      <c r="A13" t="s">
        <v>627</v>
      </c>
      <c r="B13" s="1" t="s">
        <v>98</v>
      </c>
      <c r="C13" s="21" t="s">
        <v>633</v>
      </c>
      <c r="D13" s="1" t="s">
        <v>207</v>
      </c>
      <c r="E13" s="1">
        <v>3</v>
      </c>
      <c r="F13" s="1"/>
      <c r="G13" s="1"/>
      <c r="H13" s="39">
        <v>0.05</v>
      </c>
      <c r="I13" s="68">
        <v>7.3999999999999996E-2</v>
      </c>
    </row>
    <row r="14" spans="1:24" s="1" customFormat="1" ht="16.2" customHeight="1" x14ac:dyDescent="0.55000000000000004">
      <c r="A14" s="1" t="s">
        <v>135</v>
      </c>
      <c r="B14" s="1" t="s">
        <v>98</v>
      </c>
      <c r="C14" s="21" t="s">
        <v>633</v>
      </c>
      <c r="D14" s="1" t="s">
        <v>207</v>
      </c>
      <c r="E14" s="1">
        <v>3</v>
      </c>
      <c r="H14" s="39">
        <v>0.05</v>
      </c>
      <c r="I14" s="39">
        <v>0.03</v>
      </c>
      <c r="J14" s="39">
        <v>7.3999999999999996E-2</v>
      </c>
    </row>
    <row r="15" spans="1:24" s="1" customFormat="1" ht="15" customHeight="1" x14ac:dyDescent="0.55000000000000004">
      <c r="A15" s="1" t="s">
        <v>814</v>
      </c>
      <c r="B15" s="1" t="s">
        <v>98</v>
      </c>
      <c r="C15" s="21" t="s">
        <v>633</v>
      </c>
      <c r="D15" s="1" t="s">
        <v>207</v>
      </c>
      <c r="E15" s="1">
        <v>3</v>
      </c>
      <c r="H15" s="39">
        <v>0.05</v>
      </c>
      <c r="I15" s="39"/>
      <c r="J15" s="39"/>
      <c r="W15" s="1" t="s">
        <v>42</v>
      </c>
      <c r="X15" s="1" t="s">
        <v>43</v>
      </c>
    </row>
    <row r="16" spans="1:24" s="1" customFormat="1" ht="18" customHeight="1" x14ac:dyDescent="0.55000000000000004">
      <c r="A16" s="1" t="s">
        <v>155</v>
      </c>
      <c r="B16" s="1" t="s">
        <v>98</v>
      </c>
      <c r="C16" s="21" t="s">
        <v>633</v>
      </c>
      <c r="D16" s="1" t="s">
        <v>207</v>
      </c>
      <c r="E16" s="1">
        <v>3</v>
      </c>
      <c r="H16" s="39">
        <v>0.05</v>
      </c>
      <c r="I16" s="39">
        <v>0.03</v>
      </c>
      <c r="J16" s="39">
        <v>7.3999999999999996E-2</v>
      </c>
      <c r="W16" s="1" t="s">
        <v>42</v>
      </c>
      <c r="X16" s="1" t="s">
        <v>43</v>
      </c>
    </row>
    <row r="17" spans="1:13" s="1" customFormat="1" ht="18" customHeight="1" x14ac:dyDescent="0.55000000000000004">
      <c r="A17" s="1" t="s">
        <v>754</v>
      </c>
      <c r="B17" s="1" t="s">
        <v>98</v>
      </c>
      <c r="C17" s="21" t="s">
        <v>633</v>
      </c>
      <c r="D17" s="1" t="s">
        <v>207</v>
      </c>
      <c r="E17" s="1">
        <v>3</v>
      </c>
      <c r="H17" s="39">
        <v>0.05</v>
      </c>
      <c r="I17" s="39">
        <v>7.0000000000000007E-2</v>
      </c>
      <c r="J17" s="39"/>
    </row>
    <row r="18" spans="1:13" x14ac:dyDescent="0.55000000000000004">
      <c r="A18" s="1" t="s">
        <v>44</v>
      </c>
      <c r="B18" s="1" t="s">
        <v>98</v>
      </c>
      <c r="C18" s="21" t="s">
        <v>634</v>
      </c>
      <c r="D18" s="1" t="s">
        <v>207</v>
      </c>
      <c r="E18">
        <v>4</v>
      </c>
      <c r="H18" s="45">
        <v>3.5000000000000003E-2</v>
      </c>
      <c r="I18" s="45">
        <v>4.4999999999999998E-2</v>
      </c>
      <c r="J18" s="45">
        <v>0.02</v>
      </c>
      <c r="K18" s="45"/>
    </row>
    <row r="19" spans="1:13" ht="15.6" customHeight="1" x14ac:dyDescent="0.55000000000000004">
      <c r="A19" s="1" t="s">
        <v>44</v>
      </c>
      <c r="B19" s="1" t="s">
        <v>100</v>
      </c>
      <c r="C19" s="21" t="s">
        <v>635</v>
      </c>
      <c r="D19" s="1" t="s">
        <v>207</v>
      </c>
      <c r="E19" s="1">
        <v>5</v>
      </c>
      <c r="F19" s="1"/>
      <c r="G19" s="1"/>
      <c r="H19">
        <v>0.9</v>
      </c>
      <c r="I19">
        <v>0.83330000000000004</v>
      </c>
      <c r="J19">
        <v>1</v>
      </c>
    </row>
    <row r="20" spans="1:13" ht="15.6" customHeight="1" x14ac:dyDescent="0.55000000000000004">
      <c r="A20" s="1" t="s">
        <v>135</v>
      </c>
      <c r="B20" s="1" t="s">
        <v>100</v>
      </c>
      <c r="C20" s="21" t="s">
        <v>635</v>
      </c>
      <c r="D20" s="1" t="s">
        <v>207</v>
      </c>
      <c r="E20" s="1">
        <v>5</v>
      </c>
      <c r="F20" s="1"/>
      <c r="G20" s="1"/>
      <c r="H20">
        <v>0.83330000000000004</v>
      </c>
      <c r="I20">
        <v>1</v>
      </c>
    </row>
    <row r="21" spans="1:13" x14ac:dyDescent="0.55000000000000004">
      <c r="A21" s="1" t="s">
        <v>814</v>
      </c>
      <c r="B21" s="1" t="s">
        <v>98</v>
      </c>
      <c r="C21" s="21" t="s">
        <v>636</v>
      </c>
      <c r="D21" s="1" t="s">
        <v>207</v>
      </c>
      <c r="E21" s="1">
        <v>6</v>
      </c>
      <c r="F21" s="1"/>
      <c r="G21" s="1"/>
      <c r="H21" s="45">
        <v>0.03</v>
      </c>
      <c r="I21" s="45"/>
      <c r="J21" s="48"/>
      <c r="K21" s="45"/>
    </row>
    <row r="22" spans="1:13" x14ac:dyDescent="0.55000000000000004">
      <c r="A22" s="2" t="s">
        <v>820</v>
      </c>
      <c r="B22" s="1" t="s">
        <v>98</v>
      </c>
      <c r="C22" s="204" t="s">
        <v>636</v>
      </c>
      <c r="D22" s="2" t="s">
        <v>207</v>
      </c>
      <c r="E22" s="2">
        <v>6</v>
      </c>
      <c r="F22" s="2"/>
      <c r="G22" s="1"/>
      <c r="H22" s="37">
        <v>0.02</v>
      </c>
      <c r="I22" s="37">
        <v>0.03</v>
      </c>
      <c r="J22" s="79"/>
      <c r="K22" s="37"/>
      <c r="L22" s="4"/>
      <c r="M22" s="4"/>
    </row>
    <row r="23" spans="1:13" x14ac:dyDescent="0.55000000000000004">
      <c r="A23" s="1" t="s">
        <v>155</v>
      </c>
      <c r="B23" s="1" t="s">
        <v>98</v>
      </c>
      <c r="C23" s="21" t="s">
        <v>636</v>
      </c>
      <c r="D23" s="1" t="s">
        <v>207</v>
      </c>
      <c r="E23" s="1">
        <v>6</v>
      </c>
      <c r="F23" s="1"/>
      <c r="G23" s="1"/>
      <c r="H23" s="45">
        <v>0.02</v>
      </c>
      <c r="I23" s="45">
        <v>0.03</v>
      </c>
      <c r="J23" s="48"/>
      <c r="K23" s="45"/>
    </row>
    <row r="24" spans="1:13" x14ac:dyDescent="0.55000000000000004">
      <c r="A24" s="1" t="s">
        <v>135</v>
      </c>
      <c r="B24" s="1" t="s">
        <v>98</v>
      </c>
      <c r="C24" s="21" t="s">
        <v>636</v>
      </c>
      <c r="D24" s="1" t="s">
        <v>207</v>
      </c>
      <c r="E24" s="1">
        <v>6</v>
      </c>
      <c r="F24" s="1"/>
      <c r="G24" s="1"/>
      <c r="H24" s="45">
        <v>0.02</v>
      </c>
      <c r="I24" s="45">
        <v>0.03</v>
      </c>
      <c r="J24" s="45"/>
      <c r="K24" s="45"/>
    </row>
    <row r="25" spans="1:13" x14ac:dyDescent="0.55000000000000004">
      <c r="A25" s="1" t="s">
        <v>754</v>
      </c>
      <c r="B25" s="1" t="s">
        <v>98</v>
      </c>
      <c r="C25" s="21" t="s">
        <v>636</v>
      </c>
      <c r="D25" s="1" t="s">
        <v>207</v>
      </c>
      <c r="E25" s="1">
        <v>6</v>
      </c>
      <c r="F25" s="1"/>
      <c r="G25" s="1"/>
      <c r="H25" s="45">
        <v>0.02</v>
      </c>
      <c r="I25" s="45">
        <v>2.5000000000000001E-2</v>
      </c>
      <c r="J25" s="45">
        <v>0.04</v>
      </c>
      <c r="K25" s="45"/>
    </row>
    <row r="26" spans="1:13" x14ac:dyDescent="0.55000000000000004">
      <c r="A26" s="1" t="s">
        <v>44</v>
      </c>
      <c r="B26" s="1" t="s">
        <v>98</v>
      </c>
      <c r="C26" s="21" t="s">
        <v>636</v>
      </c>
      <c r="D26" s="1" t="s">
        <v>207</v>
      </c>
      <c r="E26" s="1">
        <v>6</v>
      </c>
      <c r="F26" s="1"/>
      <c r="G26" s="1"/>
      <c r="H26" s="45">
        <v>0.02</v>
      </c>
      <c r="I26" s="45">
        <v>2.5000000000000001E-2</v>
      </c>
      <c r="J26" s="48">
        <v>0.03</v>
      </c>
      <c r="K26" s="45">
        <v>0.04</v>
      </c>
      <c r="L26" s="45"/>
    </row>
    <row r="27" spans="1:13" x14ac:dyDescent="0.55000000000000004">
      <c r="A27" s="1" t="s">
        <v>586</v>
      </c>
      <c r="B27" s="1" t="s">
        <v>98</v>
      </c>
      <c r="C27" s="21" t="s">
        <v>636</v>
      </c>
      <c r="D27" s="1" t="s">
        <v>207</v>
      </c>
      <c r="E27" s="1">
        <v>6</v>
      </c>
      <c r="F27" s="1"/>
      <c r="G27" s="1"/>
      <c r="H27" s="45">
        <v>0.02</v>
      </c>
      <c r="I27" s="45"/>
      <c r="J27" s="45"/>
      <c r="K27" s="45"/>
      <c r="L27" s="45"/>
    </row>
    <row r="28" spans="1:13" x14ac:dyDescent="0.55000000000000004">
      <c r="A28" s="1" t="s">
        <v>627</v>
      </c>
      <c r="B28" s="1" t="s">
        <v>98</v>
      </c>
      <c r="C28" s="21" t="s">
        <v>636</v>
      </c>
      <c r="D28" s="1" t="s">
        <v>207</v>
      </c>
      <c r="E28" s="1">
        <v>6</v>
      </c>
      <c r="F28" s="1"/>
      <c r="G28" s="1"/>
      <c r="H28" s="45">
        <v>0.02</v>
      </c>
      <c r="I28" s="45"/>
      <c r="J28" s="45"/>
      <c r="K28" s="45"/>
      <c r="L28" s="45"/>
    </row>
    <row r="29" spans="1:13" x14ac:dyDescent="0.55000000000000004">
      <c r="A29" t="s">
        <v>814</v>
      </c>
      <c r="B29" s="1" t="s">
        <v>100</v>
      </c>
      <c r="C29" s="21" t="s">
        <v>637</v>
      </c>
      <c r="D29" s="1" t="s">
        <v>207</v>
      </c>
      <c r="E29" s="1">
        <v>7</v>
      </c>
      <c r="F29" s="1"/>
      <c r="G29" s="1"/>
      <c r="H29">
        <v>85</v>
      </c>
      <c r="K29" s="45"/>
      <c r="L29" s="45"/>
    </row>
    <row r="30" spans="1:13" x14ac:dyDescent="0.55000000000000004">
      <c r="A30" s="1" t="s">
        <v>586</v>
      </c>
      <c r="B30" s="1" t="s">
        <v>100</v>
      </c>
      <c r="C30" s="21" t="s">
        <v>637</v>
      </c>
      <c r="D30" s="1" t="s">
        <v>207</v>
      </c>
      <c r="E30" s="1">
        <v>7</v>
      </c>
      <c r="F30" s="1"/>
      <c r="G30" s="1"/>
      <c r="H30">
        <v>85</v>
      </c>
      <c r="I30">
        <v>95</v>
      </c>
      <c r="K30" s="45"/>
      <c r="L30" s="45"/>
    </row>
    <row r="31" spans="1:13" x14ac:dyDescent="0.55000000000000004">
      <c r="A31" s="1" t="s">
        <v>135</v>
      </c>
      <c r="B31" s="1" t="s">
        <v>100</v>
      </c>
      <c r="C31" s="21" t="s">
        <v>638</v>
      </c>
      <c r="D31" s="1" t="s">
        <v>207</v>
      </c>
      <c r="E31" s="1">
        <v>7</v>
      </c>
      <c r="F31" s="1"/>
      <c r="G31" s="1"/>
      <c r="H31">
        <v>75</v>
      </c>
      <c r="I31">
        <v>85</v>
      </c>
      <c r="J31" s="1">
        <v>90</v>
      </c>
      <c r="K31">
        <v>95</v>
      </c>
      <c r="L31" s="45"/>
    </row>
    <row r="32" spans="1:13" x14ac:dyDescent="0.55000000000000004">
      <c r="B32" s="1" t="s">
        <v>100</v>
      </c>
      <c r="C32" s="21" t="s">
        <v>638</v>
      </c>
      <c r="D32" s="1" t="s">
        <v>207</v>
      </c>
      <c r="E32" s="1">
        <v>8</v>
      </c>
      <c r="F32" s="1"/>
      <c r="G32" s="1"/>
      <c r="H32">
        <v>95</v>
      </c>
    </row>
    <row r="33" spans="1:11" x14ac:dyDescent="0.55000000000000004">
      <c r="B33" s="1" t="s">
        <v>100</v>
      </c>
      <c r="C33" s="21" t="s">
        <v>639</v>
      </c>
      <c r="D33" s="1" t="s">
        <v>207</v>
      </c>
      <c r="E33" s="1">
        <v>9</v>
      </c>
      <c r="F33" s="1"/>
      <c r="G33" s="1"/>
      <c r="H33" s="64">
        <v>1</v>
      </c>
    </row>
    <row r="34" spans="1:11" x14ac:dyDescent="0.55000000000000004">
      <c r="B34" s="1" t="s">
        <v>100</v>
      </c>
      <c r="C34" s="21" t="s">
        <v>640</v>
      </c>
      <c r="D34" s="1" t="s">
        <v>207</v>
      </c>
      <c r="E34" s="1">
        <v>10</v>
      </c>
      <c r="F34" s="1"/>
      <c r="G34" s="1"/>
      <c r="H34" s="170" t="s">
        <v>757</v>
      </c>
      <c r="I34" s="170"/>
      <c r="J34" s="48"/>
    </row>
    <row r="35" spans="1:11" x14ac:dyDescent="0.55000000000000004">
      <c r="A35" t="s">
        <v>814</v>
      </c>
      <c r="B35" s="1" t="s">
        <v>100</v>
      </c>
      <c r="C35" s="21" t="s">
        <v>641</v>
      </c>
      <c r="D35" s="1" t="s">
        <v>207</v>
      </c>
      <c r="E35" s="1">
        <v>11</v>
      </c>
      <c r="F35" s="1"/>
      <c r="G35" s="1"/>
      <c r="H35">
        <v>2060</v>
      </c>
    </row>
    <row r="36" spans="1:11" x14ac:dyDescent="0.55000000000000004">
      <c r="A36" t="s">
        <v>586</v>
      </c>
      <c r="B36" s="1" t="s">
        <v>100</v>
      </c>
      <c r="C36" s="21" t="s">
        <v>641</v>
      </c>
      <c r="D36" s="1" t="s">
        <v>207</v>
      </c>
      <c r="E36" s="1">
        <v>11</v>
      </c>
      <c r="F36" s="1"/>
      <c r="G36" s="1"/>
      <c r="H36">
        <v>2026</v>
      </c>
      <c r="I36">
        <v>2060</v>
      </c>
    </row>
    <row r="37" spans="1:11" x14ac:dyDescent="0.55000000000000004">
      <c r="A37" t="s">
        <v>627</v>
      </c>
      <c r="B37" s="1" t="s">
        <v>100</v>
      </c>
      <c r="C37" s="21" t="s">
        <v>641</v>
      </c>
      <c r="D37" s="1" t="s">
        <v>207</v>
      </c>
      <c r="E37" s="1">
        <v>11</v>
      </c>
      <c r="F37" s="1"/>
      <c r="G37" s="1"/>
      <c r="H37">
        <v>2026</v>
      </c>
      <c r="I37">
        <v>2060</v>
      </c>
      <c r="J37" s="45"/>
      <c r="K37" s="45"/>
    </row>
    <row r="38" spans="1:11" x14ac:dyDescent="0.55000000000000004">
      <c r="A38" t="s">
        <v>48</v>
      </c>
      <c r="B38" s="1" t="s">
        <v>100</v>
      </c>
      <c r="C38" s="21" t="s">
        <v>641</v>
      </c>
      <c r="D38" s="1" t="s">
        <v>207</v>
      </c>
      <c r="E38" s="1">
        <v>11</v>
      </c>
      <c r="F38" s="1"/>
      <c r="G38" s="1"/>
      <c r="H38">
        <v>2026</v>
      </c>
      <c r="I38">
        <v>2060</v>
      </c>
      <c r="J38" s="45"/>
      <c r="K38" s="45"/>
    </row>
    <row r="39" spans="1:11" x14ac:dyDescent="0.55000000000000004">
      <c r="A39" s="1" t="s">
        <v>44</v>
      </c>
      <c r="B39" s="1" t="s">
        <v>98</v>
      </c>
      <c r="C39" s="21" t="s">
        <v>642</v>
      </c>
      <c r="D39" s="1" t="s">
        <v>207</v>
      </c>
      <c r="E39" s="1">
        <v>12</v>
      </c>
      <c r="F39" s="1"/>
      <c r="G39" s="1"/>
      <c r="H39" s="45">
        <v>1</v>
      </c>
      <c r="I39" s="45"/>
      <c r="J39" s="49"/>
      <c r="K39" s="49"/>
    </row>
    <row r="40" spans="1:11" x14ac:dyDescent="0.55000000000000004">
      <c r="A40" t="s">
        <v>48</v>
      </c>
      <c r="B40" s="1" t="s">
        <v>98</v>
      </c>
      <c r="C40" s="21" t="s">
        <v>643</v>
      </c>
      <c r="D40" s="1" t="s">
        <v>208</v>
      </c>
      <c r="E40" s="1">
        <v>13</v>
      </c>
      <c r="F40" s="1"/>
      <c r="G40" s="1"/>
      <c r="H40" s="49">
        <v>0.8</v>
      </c>
      <c r="I40" s="49">
        <v>0.7</v>
      </c>
    </row>
    <row r="41" spans="1:11" x14ac:dyDescent="0.55000000000000004">
      <c r="B41" s="1" t="s">
        <v>100</v>
      </c>
      <c r="C41" s="21" t="s">
        <v>644</v>
      </c>
      <c r="D41" s="1" t="s">
        <v>208</v>
      </c>
      <c r="E41" s="1">
        <v>15</v>
      </c>
      <c r="F41" s="1"/>
      <c r="G41" s="1"/>
      <c r="H41">
        <v>2024</v>
      </c>
    </row>
    <row r="42" spans="1:11" x14ac:dyDescent="0.55000000000000004">
      <c r="B42" s="1" t="s">
        <v>100</v>
      </c>
      <c r="C42" s="21" t="s">
        <v>645</v>
      </c>
      <c r="D42" s="1" t="s">
        <v>208</v>
      </c>
      <c r="E42" s="1">
        <v>16</v>
      </c>
      <c r="F42" s="1"/>
      <c r="G42" s="1"/>
      <c r="H42">
        <v>2035</v>
      </c>
    </row>
    <row r="43" spans="1:11" x14ac:dyDescent="0.55000000000000004">
      <c r="A43" t="s">
        <v>586</v>
      </c>
      <c r="B43" s="1" t="s">
        <v>100</v>
      </c>
      <c r="C43" s="21" t="s">
        <v>645</v>
      </c>
      <c r="D43" s="1" t="s">
        <v>208</v>
      </c>
      <c r="E43" s="1">
        <v>16</v>
      </c>
      <c r="F43" s="1"/>
      <c r="G43" s="1"/>
      <c r="H43">
        <v>2035</v>
      </c>
      <c r="J43" s="8"/>
    </row>
    <row r="44" spans="1:11" x14ac:dyDescent="0.55000000000000004">
      <c r="B44" s="1" t="s">
        <v>99</v>
      </c>
      <c r="C44" s="21" t="s">
        <v>646</v>
      </c>
      <c r="D44" s="1" t="s">
        <v>208</v>
      </c>
      <c r="E44" s="1">
        <v>17</v>
      </c>
      <c r="F44" s="1"/>
      <c r="G44" s="1"/>
      <c r="H44" s="8">
        <v>55000</v>
      </c>
      <c r="J44" s="8"/>
    </row>
    <row r="45" spans="1:11" x14ac:dyDescent="0.55000000000000004">
      <c r="A45" t="s">
        <v>48</v>
      </c>
      <c r="B45" s="1" t="s">
        <v>99</v>
      </c>
      <c r="C45" s="21" t="s">
        <v>646</v>
      </c>
      <c r="D45" s="1" t="s">
        <v>208</v>
      </c>
      <c r="E45" s="1">
        <v>17</v>
      </c>
      <c r="F45" s="1"/>
      <c r="G45" s="1"/>
      <c r="H45" s="8">
        <v>65000</v>
      </c>
      <c r="I45" s="8">
        <v>55000</v>
      </c>
      <c r="J45" s="35">
        <v>40000</v>
      </c>
    </row>
    <row r="46" spans="1:11" x14ac:dyDescent="0.55000000000000004">
      <c r="A46" t="s">
        <v>586</v>
      </c>
      <c r="B46" s="1" t="s">
        <v>99</v>
      </c>
      <c r="C46" s="21" t="s">
        <v>646</v>
      </c>
      <c r="D46" s="1" t="s">
        <v>208</v>
      </c>
      <c r="E46" s="1">
        <v>17</v>
      </c>
      <c r="F46" s="1"/>
      <c r="G46" s="1"/>
      <c r="H46" s="8">
        <v>45000</v>
      </c>
      <c r="I46" s="8">
        <v>55000</v>
      </c>
    </row>
    <row r="47" spans="1:11" x14ac:dyDescent="0.55000000000000004">
      <c r="B47" s="1" t="s">
        <v>99</v>
      </c>
      <c r="C47" s="21" t="s">
        <v>647</v>
      </c>
      <c r="D47" s="1" t="s">
        <v>208</v>
      </c>
      <c r="E47" s="1">
        <v>18</v>
      </c>
      <c r="F47" s="1"/>
      <c r="G47" s="1"/>
      <c r="H47">
        <v>10</v>
      </c>
      <c r="J47" s="1"/>
      <c r="K47" s="1"/>
    </row>
    <row r="48" spans="1:11" x14ac:dyDescent="0.55000000000000004">
      <c r="A48" t="s">
        <v>135</v>
      </c>
      <c r="B48" s="1" t="s">
        <v>100</v>
      </c>
      <c r="C48" s="21" t="s">
        <v>648</v>
      </c>
      <c r="D48" s="1" t="s">
        <v>208</v>
      </c>
      <c r="E48" s="1">
        <v>19</v>
      </c>
      <c r="F48" s="1"/>
      <c r="G48" s="1"/>
      <c r="H48">
        <v>0</v>
      </c>
      <c r="I48">
        <v>1</v>
      </c>
    </row>
    <row r="49" spans="1:13" x14ac:dyDescent="0.55000000000000004">
      <c r="B49" s="1" t="s">
        <v>99</v>
      </c>
      <c r="C49" s="21" t="s">
        <v>649</v>
      </c>
      <c r="D49" s="1" t="s">
        <v>208</v>
      </c>
      <c r="E49" s="1">
        <v>20</v>
      </c>
      <c r="F49" s="1"/>
      <c r="G49" s="1"/>
      <c r="H49" s="8">
        <v>50000</v>
      </c>
    </row>
    <row r="50" spans="1:13" x14ac:dyDescent="0.55000000000000004">
      <c r="B50" s="1" t="s">
        <v>100</v>
      </c>
      <c r="C50" s="21" t="s">
        <v>650</v>
      </c>
      <c r="D50" s="1" t="s">
        <v>207</v>
      </c>
      <c r="E50" s="1">
        <v>21</v>
      </c>
      <c r="F50" s="1"/>
      <c r="G50" s="1"/>
      <c r="H50" t="s">
        <v>86</v>
      </c>
    </row>
    <row r="51" spans="1:13" x14ac:dyDescent="0.55000000000000004">
      <c r="A51" t="s">
        <v>586</v>
      </c>
      <c r="B51" s="1" t="s">
        <v>100</v>
      </c>
      <c r="C51" s="21" t="s">
        <v>650</v>
      </c>
      <c r="D51" s="1" t="s">
        <v>207</v>
      </c>
      <c r="E51" s="1">
        <v>21</v>
      </c>
      <c r="F51" s="1"/>
      <c r="G51" s="1"/>
      <c r="H51" t="s">
        <v>87</v>
      </c>
      <c r="I51" t="s">
        <v>86</v>
      </c>
    </row>
    <row r="52" spans="1:13" x14ac:dyDescent="0.55000000000000004">
      <c r="A52" t="s">
        <v>814</v>
      </c>
      <c r="B52" s="1" t="s">
        <v>100</v>
      </c>
      <c r="C52" s="21" t="s">
        <v>650</v>
      </c>
      <c r="D52" s="1" t="s">
        <v>207</v>
      </c>
      <c r="E52" s="1">
        <v>21</v>
      </c>
      <c r="F52" s="1"/>
      <c r="G52" s="1"/>
      <c r="H52" t="s">
        <v>86</v>
      </c>
    </row>
    <row r="53" spans="1:13" x14ac:dyDescent="0.55000000000000004">
      <c r="A53" t="s">
        <v>135</v>
      </c>
      <c r="B53" s="1" t="s">
        <v>100</v>
      </c>
      <c r="C53" s="21" t="s">
        <v>650</v>
      </c>
      <c r="D53" s="1" t="s">
        <v>207</v>
      </c>
      <c r="E53" s="1">
        <v>21</v>
      </c>
      <c r="F53" s="1"/>
      <c r="G53" s="1"/>
      <c r="H53" t="s">
        <v>87</v>
      </c>
      <c r="I53" t="s">
        <v>86</v>
      </c>
      <c r="J53" t="s">
        <v>89</v>
      </c>
    </row>
    <row r="54" spans="1:13" x14ac:dyDescent="0.55000000000000004">
      <c r="A54" t="s">
        <v>155</v>
      </c>
      <c r="B54" s="1" t="s">
        <v>100</v>
      </c>
      <c r="C54" s="21" t="s">
        <v>650</v>
      </c>
      <c r="D54" s="1" t="s">
        <v>207</v>
      </c>
      <c r="E54" s="1">
        <v>21</v>
      </c>
      <c r="F54" s="1"/>
      <c r="G54" s="1"/>
      <c r="H54" t="s">
        <v>87</v>
      </c>
      <c r="I54" t="s">
        <v>86</v>
      </c>
      <c r="J54" t="s">
        <v>86</v>
      </c>
      <c r="K54" t="s">
        <v>88</v>
      </c>
      <c r="L54" t="s">
        <v>89</v>
      </c>
    </row>
    <row r="55" spans="1:13" x14ac:dyDescent="0.55000000000000004">
      <c r="A55" t="s">
        <v>48</v>
      </c>
      <c r="B55" s="1" t="s">
        <v>100</v>
      </c>
      <c r="C55" s="21" t="s">
        <v>650</v>
      </c>
      <c r="D55" s="1" t="s">
        <v>207</v>
      </c>
      <c r="E55" s="1">
        <v>21</v>
      </c>
      <c r="F55" s="1"/>
      <c r="G55" s="1"/>
      <c r="H55" t="s">
        <v>87</v>
      </c>
      <c r="I55" t="s">
        <v>86</v>
      </c>
    </row>
    <row r="56" spans="1:13" x14ac:dyDescent="0.55000000000000004">
      <c r="A56" t="s">
        <v>586</v>
      </c>
      <c r="B56" s="1" t="s">
        <v>100</v>
      </c>
      <c r="C56" s="21" t="s">
        <v>651</v>
      </c>
      <c r="D56" s="1" t="s">
        <v>208</v>
      </c>
      <c r="E56" s="1">
        <v>22</v>
      </c>
      <c r="F56" s="1"/>
      <c r="G56" s="1"/>
      <c r="H56" t="s">
        <v>64</v>
      </c>
    </row>
    <row r="57" spans="1:13" x14ac:dyDescent="0.55000000000000004">
      <c r="A57" t="s">
        <v>814</v>
      </c>
      <c r="B57" s="1" t="s">
        <v>100</v>
      </c>
      <c r="C57" s="21" t="s">
        <v>651</v>
      </c>
      <c r="D57" s="1" t="s">
        <v>208</v>
      </c>
      <c r="E57" s="1">
        <v>22</v>
      </c>
      <c r="F57" s="1"/>
      <c r="G57" s="1"/>
      <c r="H57" t="s">
        <v>64</v>
      </c>
    </row>
    <row r="58" spans="1:13" x14ac:dyDescent="0.55000000000000004">
      <c r="A58" t="s">
        <v>155</v>
      </c>
      <c r="B58" s="1" t="s">
        <v>100</v>
      </c>
      <c r="C58" s="21" t="s">
        <v>651</v>
      </c>
      <c r="D58" s="1" t="s">
        <v>208</v>
      </c>
      <c r="E58" s="1">
        <v>22</v>
      </c>
      <c r="F58" s="1"/>
      <c r="G58" s="1"/>
      <c r="H58" t="s">
        <v>180</v>
      </c>
      <c r="I58" t="s">
        <v>64</v>
      </c>
    </row>
    <row r="59" spans="1:13" x14ac:dyDescent="0.55000000000000004">
      <c r="B59" s="1" t="s">
        <v>98</v>
      </c>
      <c r="C59" s="21" t="s">
        <v>652</v>
      </c>
      <c r="D59" s="1" t="s">
        <v>207</v>
      </c>
      <c r="E59" s="1">
        <v>24</v>
      </c>
      <c r="F59" s="1"/>
      <c r="G59" s="1"/>
      <c r="H59" s="49">
        <v>0.35</v>
      </c>
      <c r="I59" s="1"/>
    </row>
    <row r="60" spans="1:13" x14ac:dyDescent="0.55000000000000004">
      <c r="A60" s="2" t="s">
        <v>820</v>
      </c>
      <c r="B60" s="1" t="s">
        <v>100</v>
      </c>
      <c r="C60" s="204" t="s">
        <v>681</v>
      </c>
      <c r="D60" s="2" t="s">
        <v>207</v>
      </c>
      <c r="E60" s="2">
        <v>23</v>
      </c>
      <c r="F60" s="2">
        <v>30</v>
      </c>
      <c r="H60" s="4" t="s">
        <v>733</v>
      </c>
      <c r="I60" s="4">
        <v>2025</v>
      </c>
      <c r="J60" s="4" t="s">
        <v>821</v>
      </c>
      <c r="K60" s="4">
        <v>2027</v>
      </c>
      <c r="L60" s="4" t="s">
        <v>822</v>
      </c>
      <c r="M60" s="4">
        <v>2029</v>
      </c>
    </row>
    <row r="61" spans="1:13" x14ac:dyDescent="0.55000000000000004">
      <c r="B61" s="1" t="s">
        <v>100</v>
      </c>
      <c r="C61" s="21" t="s">
        <v>681</v>
      </c>
      <c r="D61" s="1" t="s">
        <v>207</v>
      </c>
      <c r="E61" s="1">
        <v>23</v>
      </c>
      <c r="F61" s="1"/>
      <c r="G61" s="1"/>
      <c r="H61" t="s">
        <v>733</v>
      </c>
      <c r="I61" s="1"/>
      <c r="J61" s="1"/>
    </row>
    <row r="62" spans="1:13" x14ac:dyDescent="0.55000000000000004">
      <c r="A62" t="s">
        <v>48</v>
      </c>
      <c r="B62" s="1" t="s">
        <v>100</v>
      </c>
      <c r="C62" s="21" t="s">
        <v>681</v>
      </c>
      <c r="D62" s="1" t="s">
        <v>207</v>
      </c>
      <c r="E62" s="1">
        <v>23</v>
      </c>
      <c r="F62" s="1"/>
      <c r="G62" s="1"/>
      <c r="H62" t="s">
        <v>732</v>
      </c>
      <c r="I62" t="s">
        <v>739</v>
      </c>
      <c r="J62" s="1" t="s">
        <v>733</v>
      </c>
      <c r="K62" s="1" t="s">
        <v>740</v>
      </c>
      <c r="L62" s="1" t="s">
        <v>734</v>
      </c>
      <c r="M62" t="s">
        <v>157</v>
      </c>
    </row>
    <row r="63" spans="1:13" x14ac:dyDescent="0.55000000000000004">
      <c r="A63" t="s">
        <v>135</v>
      </c>
      <c r="B63" s="1" t="s">
        <v>100</v>
      </c>
      <c r="C63" s="21" t="s">
        <v>681</v>
      </c>
      <c r="D63" s="1" t="s">
        <v>207</v>
      </c>
      <c r="E63" s="1">
        <v>23</v>
      </c>
      <c r="F63" s="1"/>
      <c r="G63" s="1" t="s">
        <v>154</v>
      </c>
      <c r="H63" t="s">
        <v>732</v>
      </c>
      <c r="I63" t="s">
        <v>733</v>
      </c>
      <c r="J63" s="1" t="s">
        <v>734</v>
      </c>
      <c r="K63" s="1" t="s">
        <v>157</v>
      </c>
      <c r="L63" s="1"/>
    </row>
    <row r="64" spans="1:13" x14ac:dyDescent="0.55000000000000004">
      <c r="A64" t="s">
        <v>586</v>
      </c>
      <c r="B64" s="1" t="s">
        <v>100</v>
      </c>
      <c r="C64" s="21" t="s">
        <v>681</v>
      </c>
      <c r="D64" s="1" t="s">
        <v>207</v>
      </c>
      <c r="E64" s="1">
        <v>23</v>
      </c>
      <c r="F64" s="1"/>
      <c r="G64" s="1"/>
      <c r="H64" t="s">
        <v>733</v>
      </c>
      <c r="I64" s="1"/>
    </row>
    <row r="65" spans="1:15" x14ac:dyDescent="0.55000000000000004">
      <c r="A65" t="s">
        <v>814</v>
      </c>
      <c r="B65" s="1" t="s">
        <v>100</v>
      </c>
      <c r="C65" s="21" t="s">
        <v>681</v>
      </c>
      <c r="D65" s="1" t="s">
        <v>207</v>
      </c>
      <c r="E65" s="1">
        <v>23</v>
      </c>
      <c r="F65" s="1"/>
      <c r="G65" s="1"/>
      <c r="H65" s="1" t="s">
        <v>733</v>
      </c>
    </row>
    <row r="66" spans="1:15" x14ac:dyDescent="0.55000000000000004">
      <c r="A66" t="s">
        <v>627</v>
      </c>
      <c r="B66" s="1" t="s">
        <v>100</v>
      </c>
      <c r="C66" s="21" t="s">
        <v>681</v>
      </c>
      <c r="D66" s="1" t="s">
        <v>207</v>
      </c>
      <c r="E66" s="1">
        <v>23</v>
      </c>
      <c r="F66" s="1"/>
      <c r="G66" s="1"/>
      <c r="H66" s="1" t="s">
        <v>732</v>
      </c>
      <c r="I66" t="s">
        <v>739</v>
      </c>
      <c r="J66" s="1" t="s">
        <v>733</v>
      </c>
      <c r="K66" s="8" t="s">
        <v>740</v>
      </c>
      <c r="L66" s="35" t="s">
        <v>734</v>
      </c>
      <c r="M66" s="8" t="s">
        <v>157</v>
      </c>
      <c r="N66" s="8"/>
      <c r="O66" s="8"/>
    </row>
    <row r="67" spans="1:15" x14ac:dyDescent="0.55000000000000004">
      <c r="A67" s="1" t="s">
        <v>754</v>
      </c>
      <c r="B67" s="1" t="s">
        <v>99</v>
      </c>
      <c r="C67" s="21" t="s">
        <v>653</v>
      </c>
      <c r="D67" s="1" t="s">
        <v>208</v>
      </c>
      <c r="E67" s="1">
        <v>14</v>
      </c>
      <c r="F67" s="1"/>
      <c r="G67" s="1"/>
      <c r="H67" s="35">
        <v>0</v>
      </c>
      <c r="J67" s="1"/>
      <c r="K67" s="8"/>
      <c r="L67" s="35"/>
      <c r="M67" s="8"/>
      <c r="N67" s="8"/>
      <c r="O67" s="8"/>
    </row>
    <row r="68" spans="1:15" x14ac:dyDescent="0.55000000000000004">
      <c r="A68" t="s">
        <v>627</v>
      </c>
      <c r="B68" s="1" t="s">
        <v>99</v>
      </c>
      <c r="C68" s="21" t="s">
        <v>653</v>
      </c>
      <c r="D68" s="1" t="s">
        <v>208</v>
      </c>
      <c r="E68" s="1">
        <v>14</v>
      </c>
      <c r="F68" s="1"/>
      <c r="G68" s="1"/>
      <c r="H68" s="35">
        <v>0</v>
      </c>
      <c r="J68" s="1"/>
      <c r="K68" s="8"/>
      <c r="L68" s="35"/>
      <c r="M68" s="8"/>
      <c r="N68" s="8"/>
      <c r="O68" s="8"/>
    </row>
    <row r="69" spans="1:15" x14ac:dyDescent="0.55000000000000004">
      <c r="B69" s="1" t="s">
        <v>99</v>
      </c>
      <c r="C69" s="21" t="s">
        <v>653</v>
      </c>
      <c r="D69" s="1" t="s">
        <v>208</v>
      </c>
      <c r="E69" s="1">
        <v>14</v>
      </c>
      <c r="F69" s="1"/>
      <c r="G69" s="1"/>
      <c r="H69" s="35">
        <v>0</v>
      </c>
      <c r="J69" s="8"/>
      <c r="K69" s="35"/>
      <c r="L69" s="8"/>
      <c r="M69" s="8"/>
      <c r="N69" s="8"/>
      <c r="O69" s="8"/>
    </row>
    <row r="70" spans="1:15" x14ac:dyDescent="0.55000000000000004">
      <c r="A70" t="s">
        <v>135</v>
      </c>
      <c r="B70" s="1" t="s">
        <v>99</v>
      </c>
      <c r="C70" s="21" t="s">
        <v>653</v>
      </c>
      <c r="D70" s="1" t="s">
        <v>208</v>
      </c>
      <c r="E70" s="1">
        <v>14</v>
      </c>
      <c r="F70" s="1"/>
      <c r="G70" s="1"/>
      <c r="H70" s="35">
        <v>5000</v>
      </c>
      <c r="I70">
        <v>0</v>
      </c>
      <c r="J70" s="35"/>
      <c r="L70" s="8"/>
    </row>
    <row r="71" spans="1:15" x14ac:dyDescent="0.55000000000000004">
      <c r="A71" t="s">
        <v>155</v>
      </c>
      <c r="B71" s="1" t="s">
        <v>99</v>
      </c>
      <c r="C71" s="21" t="s">
        <v>653</v>
      </c>
      <c r="D71" s="1" t="s">
        <v>208</v>
      </c>
      <c r="E71" s="1">
        <v>14</v>
      </c>
      <c r="F71" s="1"/>
      <c r="G71" s="1"/>
      <c r="H71" s="8">
        <v>10000</v>
      </c>
      <c r="I71" s="8">
        <v>20000</v>
      </c>
      <c r="J71" s="8">
        <v>35000</v>
      </c>
      <c r="K71" s="8">
        <v>50000</v>
      </c>
      <c r="M71" s="8"/>
      <c r="N71" s="8"/>
      <c r="O71" s="8"/>
    </row>
    <row r="72" spans="1:15" x14ac:dyDescent="0.55000000000000004">
      <c r="A72" t="s">
        <v>814</v>
      </c>
      <c r="B72" s="1" t="s">
        <v>99</v>
      </c>
      <c r="C72" s="21" t="s">
        <v>653</v>
      </c>
      <c r="D72" s="1" t="s">
        <v>208</v>
      </c>
      <c r="E72" s="1">
        <v>14</v>
      </c>
      <c r="F72" s="1"/>
      <c r="G72" s="1"/>
      <c r="H72" s="35">
        <v>0</v>
      </c>
      <c r="I72" s="8">
        <v>3000</v>
      </c>
      <c r="J72" s="8">
        <v>6000</v>
      </c>
      <c r="K72" s="8">
        <v>10000</v>
      </c>
      <c r="L72" s="8">
        <v>15000</v>
      </c>
      <c r="M72" s="8">
        <v>20000</v>
      </c>
      <c r="N72" s="8"/>
      <c r="O72" s="8"/>
    </row>
    <row r="73" spans="1:15" x14ac:dyDescent="0.55000000000000004">
      <c r="B73" s="1" t="s">
        <v>100</v>
      </c>
      <c r="C73" s="21" t="s">
        <v>654</v>
      </c>
      <c r="D73" s="1" t="s">
        <v>624</v>
      </c>
      <c r="E73" s="1">
        <v>25</v>
      </c>
      <c r="F73" s="1"/>
      <c r="H73" s="1" t="s">
        <v>445</v>
      </c>
      <c r="J73" s="8"/>
      <c r="K73" s="35"/>
      <c r="L73" s="8"/>
      <c r="M73" s="8"/>
      <c r="N73" s="8"/>
      <c r="O73" s="8"/>
    </row>
    <row r="74" spans="1:15" x14ac:dyDescent="0.55000000000000004">
      <c r="B74" s="1" t="s">
        <v>100</v>
      </c>
      <c r="C74" s="21" t="s">
        <v>655</v>
      </c>
      <c r="D74" s="1" t="s">
        <v>624</v>
      </c>
      <c r="E74" s="1">
        <v>26</v>
      </c>
      <c r="F74" s="1"/>
      <c r="H74" s="1" t="s">
        <v>453</v>
      </c>
    </row>
    <row r="75" spans="1:15" x14ac:dyDescent="0.55000000000000004">
      <c r="B75" s="1" t="s">
        <v>100</v>
      </c>
      <c r="C75" s="21" t="s">
        <v>747</v>
      </c>
      <c r="D75" s="1" t="s">
        <v>207</v>
      </c>
      <c r="E75" s="1">
        <v>29</v>
      </c>
      <c r="F75" s="1"/>
      <c r="H75">
        <v>2035</v>
      </c>
      <c r="J75" s="8"/>
      <c r="K75" s="35"/>
      <c r="L75" s="8"/>
      <c r="M75" s="8"/>
      <c r="N75" s="8"/>
      <c r="O75" s="8"/>
    </row>
    <row r="76" spans="1:15" x14ac:dyDescent="0.55000000000000004">
      <c r="J76" s="8"/>
      <c r="K76" s="35"/>
      <c r="L76" s="8"/>
      <c r="M76" s="8"/>
      <c r="N76" s="8"/>
      <c r="O76" s="8"/>
    </row>
    <row r="77" spans="1:15" x14ac:dyDescent="0.55000000000000004">
      <c r="J77" s="8"/>
      <c r="K77" s="35"/>
      <c r="L77" s="8"/>
      <c r="M77" s="8"/>
      <c r="N77" s="8"/>
      <c r="O77" s="8"/>
    </row>
    <row r="78" spans="1:15" x14ac:dyDescent="0.55000000000000004">
      <c r="A78" t="s">
        <v>559</v>
      </c>
      <c r="B78" s="1"/>
      <c r="D78" s="1"/>
      <c r="E78" s="1"/>
      <c r="F78" s="1"/>
      <c r="H78" s="1"/>
      <c r="J78" s="8"/>
      <c r="K78" s="35"/>
      <c r="L78" s="8"/>
      <c r="M78" s="8"/>
      <c r="N78" s="8"/>
      <c r="O78" s="8"/>
    </row>
    <row r="79" spans="1:15" x14ac:dyDescent="0.55000000000000004">
      <c r="B79" s="1"/>
      <c r="D79" s="1"/>
      <c r="E79" s="1"/>
      <c r="F79" s="1"/>
      <c r="G79" s="1"/>
      <c r="H79" s="35"/>
    </row>
    <row r="81" spans="1:2" x14ac:dyDescent="0.55000000000000004">
      <c r="A81" t="s">
        <v>559</v>
      </c>
      <c r="B81" s="155" t="s">
        <v>755</v>
      </c>
    </row>
  </sheetData>
  <autoFilter ref="A1:A79" xr:uid="{C99373B8-C024-4E3C-A542-9101DFD14A1C}"/>
  <dataValidations count="6">
    <dataValidation type="list" allowBlank="1" showInputMessage="1" showErrorMessage="1" sqref="J56:L57 H56:H57 H58:I58" xr:uid="{05100500-4522-4EFC-95C9-42B702EA547B}">
      <formula1>"ReduceByRMDOnly,AvoidMedicareBracket4,AvoidMedicareBracket5,FlatRate,AdjustedFlatRate"</formula1>
    </dataValidation>
    <dataValidation type="list" allowBlank="1" showInputMessage="1" showErrorMessage="1" sqref="J7:L11 I9:I10" xr:uid="{4BEE9965-4FF7-454D-866E-A3B8FBAC1719}">
      <formula1>"Explicit,Zero,Maximum,Optimize,HalfOptimized,3QOptimized"</formula1>
    </dataValidation>
    <dataValidation type="list" allowBlank="1" showInputMessage="1" showErrorMessage="1" sqref="I7:I8 H7:H10" xr:uid="{8A6E675B-2235-417B-B0BA-BBE2220045C6}">
      <formula1>"Explicit,Maximize"</formula1>
    </dataValidation>
    <dataValidation type="list" allowBlank="1" showInputMessage="1" showErrorMessage="1" sqref="H5:N5 H6:M6" xr:uid="{61AA671E-847A-43A2-98BE-1F965EAC43AC}">
      <formula1>"Explicit,Zero,Maximum,Optimize,HalfOptimized,3QOptimized,OptAvoidIRMAA2,OptAvoidIRMAA3,OptAvoidIRMAA4"</formula1>
    </dataValidation>
    <dataValidation type="list" allowBlank="1" showInputMessage="1" showErrorMessage="1" sqref="H50 H52 H51:L51 H53:L55 J52:L52" xr:uid="{D2BBF83A-7C42-4B80-AECC-9853F11F4738}">
      <formula1>"TCJAHistoric,TCJAPessimistic,PostTCJAHistoric,PostTCJAOptimistic,PostTCJAPessimistic"</formula1>
    </dataValidation>
    <dataValidation type="list" allowBlank="1" showInputMessage="1" showErrorMessage="1" sqref="H78 H73:H74 I59 I61" xr:uid="{336BD482-0ACC-4411-B5CF-39364E0B8925}">
      <formula1>#REF!</formula1>
    </dataValidation>
  </dataValidation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DF4DE-A8FF-4A3C-9766-B60925BBEF7D}">
  <sheetPr codeName="Sheet34"/>
  <dimension ref="A1:CD10"/>
  <sheetViews>
    <sheetView zoomScale="90" zoomScaleNormal="90" workbookViewId="0">
      <pane ySplit="1" topLeftCell="A3033" activePane="bottomLeft" state="frozen"/>
      <selection pane="bottomLeft" activeCell="A3040" sqref="A3040"/>
    </sheetView>
  </sheetViews>
  <sheetFormatPr defaultRowHeight="14.4" x14ac:dyDescent="0.55000000000000004"/>
  <cols>
    <col min="1" max="1" width="20.47265625" customWidth="1"/>
    <col min="2" max="2" width="10.3125" customWidth="1"/>
    <col min="3" max="3" width="10.20703125" style="54" customWidth="1"/>
    <col min="4" max="4" width="10.15625" style="54" customWidth="1"/>
    <col min="5" max="5" width="8.20703125" customWidth="1"/>
    <col min="6" max="6" width="9.578125" style="54" customWidth="1"/>
    <col min="7" max="7" width="8.41796875" customWidth="1"/>
    <col min="8" max="8" width="8.83984375" customWidth="1"/>
    <col min="9" max="9" width="10.1015625" customWidth="1"/>
    <col min="10" max="10" width="11.1015625" customWidth="1"/>
    <col min="11" max="11" width="8.83984375" customWidth="1"/>
    <col min="12" max="13" width="8.83984375" style="54" customWidth="1"/>
    <col min="14" max="14" width="8.7890625" style="8" customWidth="1"/>
    <col min="15" max="16" width="9.05078125" customWidth="1"/>
    <col min="17" max="17" width="9.05078125" style="8" customWidth="1"/>
    <col min="18" max="18" width="8.83984375" style="8" customWidth="1"/>
    <col min="19" max="19" width="8.1015625" customWidth="1"/>
    <col min="20" max="20" width="10.20703125" style="8" customWidth="1"/>
    <col min="21" max="21" width="17.15625" customWidth="1"/>
    <col min="22" max="22" width="19.89453125" style="21" customWidth="1"/>
    <col min="23" max="23" width="11" style="21" customWidth="1"/>
    <col min="24" max="26" width="11" style="77" customWidth="1"/>
    <col min="27" max="27" width="16.89453125" style="77" customWidth="1"/>
    <col min="28" max="28" width="12.3671875" style="77" customWidth="1"/>
    <col min="29" max="30" width="10.05078125" style="200" customWidth="1"/>
    <col min="31" max="31" width="11" style="21" customWidth="1"/>
    <col min="32" max="32" width="11.578125" style="21" customWidth="1"/>
    <col min="33" max="33" width="11" style="161" customWidth="1"/>
    <col min="34" max="34" width="11" style="8" customWidth="1"/>
    <col min="35" max="38" width="11.1015625" style="8" customWidth="1"/>
    <col min="39" max="39" width="10.89453125" style="8" customWidth="1"/>
    <col min="40" max="40" width="9.62890625" style="8" customWidth="1"/>
    <col min="41" max="41" width="9.62890625" style="54" customWidth="1"/>
    <col min="42" max="42" width="11.26171875" style="8" customWidth="1"/>
    <col min="43" max="48" width="9.62890625" style="8" customWidth="1"/>
    <col min="49" max="49" width="9.62890625" style="54" customWidth="1"/>
    <col min="50" max="50" width="11.7890625" style="8" customWidth="1"/>
    <col min="51" max="51" width="9.62890625" style="8" customWidth="1"/>
    <col min="52" max="53" width="11.41796875" style="8" customWidth="1"/>
    <col min="54" max="54" width="10.89453125" style="8" customWidth="1"/>
    <col min="55" max="55" width="10.15625" style="8" customWidth="1"/>
    <col min="56" max="56" width="11.41796875" style="8" customWidth="1"/>
    <col min="57" max="57" width="13.734375" style="54" customWidth="1"/>
    <col min="58" max="58" width="9.62890625" style="8" customWidth="1"/>
    <col min="59" max="59" width="11.20703125" style="8" customWidth="1"/>
    <col min="60" max="62" width="10.41796875" style="8" customWidth="1"/>
    <col min="63" max="63" width="9.62890625" style="8" customWidth="1"/>
    <col min="64" max="64" width="10.26171875" style="8" customWidth="1"/>
    <col min="65" max="65" width="9.3671875" style="54" customWidth="1"/>
    <col min="66" max="66" width="8.83984375" style="8" customWidth="1"/>
    <col min="67" max="67" width="8.83984375" style="54" customWidth="1"/>
    <col min="68" max="68" width="8.83984375" style="8" customWidth="1"/>
    <col min="69" max="69" width="9.15625" style="8" customWidth="1"/>
    <col min="70" max="70" width="11.3671875" style="8" customWidth="1"/>
    <col min="71" max="71" width="9.62890625" style="54" customWidth="1"/>
    <col min="72" max="72" width="14.05078125" style="54" customWidth="1"/>
    <col min="73" max="73" width="10.26171875" style="54" customWidth="1"/>
    <col min="74" max="74" width="8.68359375" style="54" customWidth="1"/>
    <col min="75" max="75" width="9.5234375" style="54" customWidth="1"/>
    <col min="76" max="76" width="9.62890625" style="54" customWidth="1"/>
    <col min="77" max="77" width="13.47265625" style="55" customWidth="1"/>
    <col min="78" max="78" width="9.62890625" style="55" customWidth="1"/>
    <col min="79" max="79" width="9.62890625" style="45" bestFit="1" customWidth="1"/>
    <col min="80" max="80" width="9.62890625" style="45" customWidth="1"/>
    <col min="81" max="81" width="9.7890625" style="45" customWidth="1"/>
    <col min="82" max="82" width="9.62890625" style="54" customWidth="1"/>
  </cols>
  <sheetData>
    <row r="1" spans="1:82" s="33" customFormat="1" ht="77.7" customHeight="1" x14ac:dyDescent="0.55000000000000004">
      <c r="B1" s="33" t="s">
        <v>50</v>
      </c>
      <c r="C1" s="39" t="s">
        <v>32</v>
      </c>
      <c r="D1" s="39" t="s">
        <v>183</v>
      </c>
      <c r="E1" s="33" t="s">
        <v>36</v>
      </c>
      <c r="F1" s="39" t="s">
        <v>33</v>
      </c>
      <c r="G1" s="33" t="s">
        <v>20</v>
      </c>
      <c r="H1" s="33" t="s">
        <v>21</v>
      </c>
      <c r="I1" s="33" t="s">
        <v>46</v>
      </c>
      <c r="J1" s="33" t="s">
        <v>47</v>
      </c>
      <c r="K1" s="33" t="s">
        <v>523</v>
      </c>
      <c r="L1" s="39" t="s">
        <v>137</v>
      </c>
      <c r="M1" s="39" t="s">
        <v>41</v>
      </c>
      <c r="N1" s="57" t="s">
        <v>34</v>
      </c>
      <c r="O1" s="33" t="s">
        <v>37</v>
      </c>
      <c r="P1" s="33" t="s">
        <v>38</v>
      </c>
      <c r="Q1" s="35" t="s">
        <v>39</v>
      </c>
      <c r="R1" s="35" t="s">
        <v>40</v>
      </c>
      <c r="S1" s="33" t="s">
        <v>54</v>
      </c>
      <c r="T1" s="35" t="s">
        <v>49</v>
      </c>
      <c r="U1" s="52" t="s">
        <v>94</v>
      </c>
      <c r="V1" s="53" t="s">
        <v>63</v>
      </c>
      <c r="W1" s="53" t="s">
        <v>158</v>
      </c>
      <c r="X1" s="76" t="s">
        <v>138</v>
      </c>
      <c r="Y1" s="76" t="s">
        <v>233</v>
      </c>
      <c r="Z1" s="76" t="s">
        <v>234</v>
      </c>
      <c r="AA1" s="76" t="s">
        <v>584</v>
      </c>
      <c r="AB1" s="76" t="s">
        <v>628</v>
      </c>
      <c r="AC1" s="199" t="s">
        <v>748</v>
      </c>
      <c r="AD1" s="199" t="s">
        <v>823</v>
      </c>
      <c r="AE1" s="53" t="s">
        <v>145</v>
      </c>
      <c r="AF1" s="53" t="s">
        <v>146</v>
      </c>
      <c r="AG1" s="164" t="s">
        <v>594</v>
      </c>
      <c r="AH1" s="57" t="s">
        <v>128</v>
      </c>
      <c r="AI1" s="35" t="s">
        <v>129</v>
      </c>
      <c r="AJ1" s="35" t="s">
        <v>130</v>
      </c>
      <c r="AK1" s="35" t="s">
        <v>175</v>
      </c>
      <c r="AL1" s="35" t="s">
        <v>160</v>
      </c>
      <c r="AM1" s="57" t="s">
        <v>131</v>
      </c>
      <c r="AN1" s="35" t="s">
        <v>176</v>
      </c>
      <c r="AO1" s="39" t="s">
        <v>132</v>
      </c>
      <c r="AP1" s="57" t="s">
        <v>601</v>
      </c>
      <c r="AQ1" s="35" t="s">
        <v>602</v>
      </c>
      <c r="AR1" s="35" t="s">
        <v>603</v>
      </c>
      <c r="AS1" s="35" t="s">
        <v>604</v>
      </c>
      <c r="AT1" s="35" t="s">
        <v>605</v>
      </c>
      <c r="AU1" s="57" t="s">
        <v>606</v>
      </c>
      <c r="AV1" s="35" t="s">
        <v>607</v>
      </c>
      <c r="AW1" s="39" t="s">
        <v>608</v>
      </c>
      <c r="AX1" s="57" t="s">
        <v>58</v>
      </c>
      <c r="AY1" s="57" t="s">
        <v>59</v>
      </c>
      <c r="AZ1" s="35" t="s">
        <v>60</v>
      </c>
      <c r="BA1" s="35" t="s">
        <v>177</v>
      </c>
      <c r="BB1" s="35" t="s">
        <v>161</v>
      </c>
      <c r="BC1" s="57" t="s">
        <v>61</v>
      </c>
      <c r="BD1" s="35" t="s">
        <v>62</v>
      </c>
      <c r="BE1" s="39" t="s">
        <v>102</v>
      </c>
      <c r="BF1" s="35" t="s">
        <v>70</v>
      </c>
      <c r="BG1" s="35" t="s">
        <v>66</v>
      </c>
      <c r="BH1" s="35" t="s">
        <v>67</v>
      </c>
      <c r="BI1" s="35" t="s">
        <v>178</v>
      </c>
      <c r="BJ1" s="35" t="s">
        <v>162</v>
      </c>
      <c r="BK1" s="35" t="s">
        <v>68</v>
      </c>
      <c r="BL1" s="35" t="s">
        <v>69</v>
      </c>
      <c r="BM1" s="39" t="s">
        <v>103</v>
      </c>
      <c r="BN1" s="35" t="s">
        <v>57</v>
      </c>
      <c r="BO1" s="39" t="s">
        <v>827</v>
      </c>
      <c r="BP1" s="35" t="s">
        <v>828</v>
      </c>
      <c r="BQ1" s="35" t="s">
        <v>133</v>
      </c>
      <c r="BR1" s="35" t="s">
        <v>74</v>
      </c>
      <c r="BS1" s="39" t="s">
        <v>585</v>
      </c>
      <c r="BT1" s="210" t="s">
        <v>65</v>
      </c>
      <c r="BU1" s="39" t="s">
        <v>134</v>
      </c>
      <c r="BV1" s="39" t="s">
        <v>609</v>
      </c>
      <c r="BW1" s="39" t="s">
        <v>72</v>
      </c>
      <c r="BX1" s="39" t="s">
        <v>73</v>
      </c>
      <c r="BY1" s="66" t="s">
        <v>201</v>
      </c>
      <c r="BZ1" s="66" t="s">
        <v>153</v>
      </c>
      <c r="CA1" s="48" t="s">
        <v>595</v>
      </c>
      <c r="CB1" s="48" t="s">
        <v>610</v>
      </c>
      <c r="CC1" s="48" t="s">
        <v>596</v>
      </c>
      <c r="CD1" s="39" t="s">
        <v>749</v>
      </c>
    </row>
    <row r="3" spans="1:82" x14ac:dyDescent="0.55000000000000004">
      <c r="A3" t="s">
        <v>829</v>
      </c>
    </row>
    <row r="4" spans="1:82" x14ac:dyDescent="0.55000000000000004">
      <c r="A4" t="s">
        <v>202</v>
      </c>
    </row>
    <row r="6" spans="1:82" x14ac:dyDescent="0.55000000000000004">
      <c r="A6" s="216" t="s">
        <v>751</v>
      </c>
      <c r="B6" s="217"/>
      <c r="C6" s="218"/>
    </row>
    <row r="7" spans="1:82" x14ac:dyDescent="0.55000000000000004">
      <c r="A7" s="198"/>
      <c r="B7" s="198" t="s">
        <v>753</v>
      </c>
      <c r="C7" s="201" t="s">
        <v>98</v>
      </c>
    </row>
    <row r="8" spans="1:82" x14ac:dyDescent="0.55000000000000004">
      <c r="A8" s="4" t="s">
        <v>756</v>
      </c>
      <c r="B8" s="4" t="e">
        <f>COUNTIF(#REF!,"=0")</f>
        <v>#REF!</v>
      </c>
      <c r="C8" s="36" t="e">
        <f>B8/COUNTIF(#REF!,"Explicit")</f>
        <v>#REF!</v>
      </c>
    </row>
    <row r="9" spans="1:82" x14ac:dyDescent="0.55000000000000004">
      <c r="A9" s="4" t="s">
        <v>750</v>
      </c>
      <c r="B9" s="4" t="e">
        <f>COUNTIF(#REF!, TRUE)</f>
        <v>#REF!</v>
      </c>
      <c r="C9" s="36" t="e">
        <f>B9/COUNTIF(#REF!,"Explicit")</f>
        <v>#REF!</v>
      </c>
    </row>
    <row r="10" spans="1:82" x14ac:dyDescent="0.55000000000000004">
      <c r="A10" s="139" t="s">
        <v>752</v>
      </c>
      <c r="B10" s="4" t="e">
        <f>B8+B9</f>
        <v>#REF!</v>
      </c>
      <c r="C10" s="36" t="e">
        <f>B10/COUNTIF(#REF!,"Explicit")</f>
        <v>#REF!</v>
      </c>
    </row>
  </sheetData>
  <autoFilter ref="A1:AD1" xr:uid="{5F5DF4DE-A8FF-4A3C-9766-B60925BBEF7D}"/>
  <mergeCells count="1">
    <mergeCell ref="A6:C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9D049-0338-4D6B-BC1B-5C7DFA1D2069}">
  <sheetPr codeName="Sheet52"/>
  <dimension ref="A1:GK1608"/>
  <sheetViews>
    <sheetView zoomScale="85" zoomScaleNormal="85" workbookViewId="0">
      <pane ySplit="3" topLeftCell="A149" activePane="bottomLeft" state="frozen"/>
      <selection activeCell="A5" sqref="A5"/>
      <selection pane="bottomLeft" activeCell="D72" sqref="D72"/>
    </sheetView>
  </sheetViews>
  <sheetFormatPr defaultRowHeight="14.4" x14ac:dyDescent="0.55000000000000004"/>
  <cols>
    <col min="1" max="3" width="7.3671875" customWidth="1"/>
    <col min="4" max="4" width="10.1015625" customWidth="1"/>
    <col min="5" max="5" width="10.83984375" customWidth="1"/>
    <col min="6" max="7" width="10.7890625" customWidth="1"/>
    <col min="8" max="8" width="8.7890625" customWidth="1"/>
    <col min="9" max="9" width="8.578125" customWidth="1"/>
    <col min="10" max="10" width="9.05078125" customWidth="1"/>
    <col min="11" max="13" width="7.3671875" customWidth="1"/>
    <col min="14" max="14" width="9.3671875" customWidth="1"/>
    <col min="15" max="15" width="9" customWidth="1"/>
    <col min="16" max="16" width="9.734375" customWidth="1"/>
    <col min="17" max="18" width="9.734375" style="135" customWidth="1"/>
    <col min="19" max="19" width="9.89453125" customWidth="1"/>
    <col min="20" max="20" width="9.3671875" customWidth="1"/>
    <col min="21" max="21" width="10.89453125" customWidth="1"/>
    <col min="22" max="22" width="10.5234375" customWidth="1"/>
    <col min="23" max="23" width="9.5234375" customWidth="1"/>
    <col min="24" max="24" width="9.62890625" customWidth="1"/>
    <col min="25" max="25" width="9.578125" customWidth="1"/>
    <col min="26" max="27" width="9.20703125" customWidth="1"/>
    <col min="28" max="28" width="10.734375" customWidth="1"/>
    <col min="29" max="29" width="11.3125" customWidth="1"/>
    <col min="30" max="30" width="12.05078125" customWidth="1"/>
    <col min="31" max="31" width="16.20703125" customWidth="1"/>
    <col min="32" max="32" width="11.3671875" customWidth="1"/>
    <col min="33" max="33" width="11" customWidth="1"/>
    <col min="34" max="37" width="11" style="45" customWidth="1"/>
    <col min="38" max="38" width="11.41796875" style="45" customWidth="1"/>
    <col min="39" max="39" width="12.5234375" customWidth="1"/>
    <col min="40" max="40" width="10.734375" customWidth="1"/>
    <col min="41" max="41" width="11.3125" customWidth="1"/>
    <col min="42" max="42" width="9.26171875" customWidth="1"/>
    <col min="43" max="43" width="10.734375" customWidth="1"/>
    <col min="44" max="44" width="8.05078125" customWidth="1"/>
    <col min="45" max="45" width="8.15625" customWidth="1"/>
    <col min="46" max="46" width="9.734375" customWidth="1"/>
    <col min="47" max="48" width="10.1015625" customWidth="1"/>
    <col min="49" max="58" width="9.734375" customWidth="1"/>
    <col min="59" max="59" width="10" customWidth="1"/>
    <col min="60" max="60" width="9.83984375" customWidth="1"/>
    <col min="61" max="61" width="10.89453125" customWidth="1"/>
    <col min="62" max="71" width="9.47265625" customWidth="1"/>
    <col min="72" max="73" width="10.1015625" customWidth="1"/>
    <col min="74" max="74" width="8.83984375" style="65" customWidth="1"/>
    <col min="75" max="75" width="9.89453125" style="65" customWidth="1"/>
    <col min="76" max="76" width="10" style="65" customWidth="1"/>
    <col min="77" max="92" width="8.83984375" style="65" customWidth="1"/>
    <col min="93" max="93" width="10.3671875" style="65" customWidth="1"/>
    <col min="94" max="94" width="8.83984375" style="65" customWidth="1"/>
    <col min="95" max="95" width="10.3125" style="65" customWidth="1"/>
    <col min="96" max="96" width="9.62890625" style="65" customWidth="1"/>
    <col min="97" max="97" width="9.7890625" style="65" customWidth="1"/>
    <col min="98" max="108" width="8.83984375" customWidth="1"/>
    <col min="109" max="110" width="8.83984375" style="45" customWidth="1"/>
    <col min="111" max="120" width="8.83984375" customWidth="1"/>
    <col min="121" max="121" width="8.62890625" customWidth="1"/>
    <col min="122" max="122" width="8.62890625" style="45" customWidth="1"/>
    <col min="123" max="128" width="8.62890625" customWidth="1"/>
    <col min="129" max="129" width="8.62890625" style="208" customWidth="1"/>
    <col min="130" max="130" width="8.26171875" customWidth="1"/>
    <col min="131" max="131" width="8.578125" customWidth="1"/>
    <col min="132" max="132" width="8.578125" style="65" customWidth="1"/>
    <col min="133" max="136" width="8.578125" customWidth="1"/>
    <col min="137" max="137" width="9.9453125" customWidth="1"/>
    <col min="138" max="144" width="8.578125" customWidth="1"/>
    <col min="145" max="145" width="10.3125" customWidth="1"/>
    <col min="146" max="147" width="9.7890625" customWidth="1"/>
    <col min="148" max="148" width="8.578125" customWidth="1"/>
    <col min="149" max="149" width="6.9453125" customWidth="1"/>
    <col min="150" max="150" width="7.9453125" customWidth="1"/>
    <col min="151" max="151" width="8.41796875" customWidth="1"/>
    <col min="152" max="152" width="11.20703125" customWidth="1"/>
    <col min="153" max="153" width="9.1015625" style="45" customWidth="1"/>
    <col min="154" max="154" width="8.83984375" customWidth="1"/>
    <col min="156" max="157" width="7.89453125" customWidth="1"/>
    <col min="158" max="158" width="8.83984375" customWidth="1"/>
    <col min="159" max="175" width="9.5234375" customWidth="1"/>
    <col min="176" max="184" width="10.7890625" customWidth="1"/>
    <col min="185" max="185" width="10.3125" customWidth="1"/>
    <col min="186" max="186" width="9.5234375" customWidth="1"/>
    <col min="187" max="187" width="10.68359375" customWidth="1"/>
    <col min="188" max="188" width="10.47265625" customWidth="1"/>
    <col min="189" max="189" width="9.734375" customWidth="1"/>
    <col min="190" max="190" width="10.3125" customWidth="1"/>
    <col min="191" max="191" width="13.1015625" style="8" customWidth="1"/>
    <col min="192" max="193" width="9.62890625" style="8" bestFit="1" customWidth="1"/>
  </cols>
  <sheetData>
    <row r="1" spans="1:193" ht="15.9" customHeight="1" x14ac:dyDescent="0.55000000000000004">
      <c r="A1" s="144" t="s">
        <v>588</v>
      </c>
      <c r="B1" s="63">
        <v>1</v>
      </c>
      <c r="C1" s="145"/>
      <c r="D1" s="216" t="s">
        <v>3</v>
      </c>
      <c r="E1" s="217"/>
      <c r="F1" s="217"/>
      <c r="G1" s="217"/>
      <c r="H1" s="217"/>
      <c r="I1" s="217"/>
      <c r="J1" s="217"/>
      <c r="K1" s="217"/>
      <c r="L1" s="217"/>
      <c r="M1" s="217"/>
      <c r="N1" s="217"/>
      <c r="O1" s="217"/>
      <c r="P1" s="217"/>
      <c r="Q1" s="217"/>
      <c r="R1" s="217"/>
      <c r="S1" s="218"/>
      <c r="T1" s="256" t="s">
        <v>541</v>
      </c>
      <c r="U1" s="257"/>
      <c r="V1" s="257"/>
      <c r="W1" s="257"/>
      <c r="X1" s="257"/>
      <c r="Y1" s="257"/>
      <c r="Z1" s="257"/>
      <c r="AA1" s="258"/>
      <c r="AB1" s="262"/>
      <c r="AC1" s="216" t="s">
        <v>101</v>
      </c>
      <c r="AD1" s="217"/>
      <c r="AE1" s="217"/>
      <c r="AF1" s="217"/>
      <c r="AG1" s="217"/>
      <c r="AH1" s="217"/>
      <c r="AI1" s="217"/>
      <c r="AJ1" s="217"/>
      <c r="AK1" s="217"/>
      <c r="AL1" s="217"/>
      <c r="AM1" s="218"/>
      <c r="AN1" s="6"/>
      <c r="AO1" s="19"/>
      <c r="AP1" s="19"/>
      <c r="AQ1" s="19"/>
      <c r="AR1" s="19"/>
      <c r="AS1" s="19"/>
      <c r="AT1" s="19"/>
      <c r="AU1" s="19"/>
      <c r="AV1" s="19"/>
      <c r="AW1" s="264" t="s">
        <v>11</v>
      </c>
      <c r="AX1" s="265"/>
      <c r="AY1" s="265"/>
      <c r="AZ1" s="265"/>
      <c r="BA1" s="265"/>
      <c r="BB1" s="265"/>
      <c r="BC1" s="265"/>
      <c r="BD1" s="265"/>
      <c r="BE1" s="265"/>
      <c r="BF1" s="265"/>
      <c r="BG1" s="265"/>
      <c r="BH1" s="265"/>
      <c r="BI1" s="265"/>
      <c r="BJ1" s="265"/>
      <c r="BK1" s="265"/>
      <c r="BL1" s="265"/>
      <c r="BM1" s="265"/>
      <c r="BN1" s="265"/>
      <c r="BO1" s="265"/>
      <c r="BP1" s="265"/>
      <c r="BQ1" s="265"/>
      <c r="BR1" s="265"/>
      <c r="BS1" s="265"/>
      <c r="BT1" s="265"/>
      <c r="BU1" s="265"/>
      <c r="BV1" s="265"/>
      <c r="BW1" s="265"/>
      <c r="BX1" s="265"/>
      <c r="BY1" s="265"/>
      <c r="BZ1" s="265"/>
      <c r="CA1" s="265"/>
      <c r="CB1" s="265"/>
      <c r="CC1" s="265"/>
      <c r="CD1" s="265"/>
      <c r="CE1" s="265"/>
      <c r="CF1" s="265"/>
      <c r="CG1" s="265"/>
      <c r="CH1" s="265"/>
      <c r="CI1" s="265"/>
      <c r="CJ1" s="265"/>
      <c r="CK1" s="265"/>
      <c r="CL1" s="265"/>
      <c r="CM1" s="265"/>
      <c r="CN1" s="265"/>
      <c r="CO1" s="265"/>
      <c r="CP1" s="265"/>
      <c r="CQ1" s="265"/>
      <c r="CR1" s="265"/>
      <c r="CS1" s="265"/>
      <c r="CT1" s="265"/>
      <c r="CU1" s="265"/>
      <c r="CV1" s="265"/>
      <c r="CW1" s="265"/>
      <c r="CX1" s="265"/>
      <c r="CY1" s="265"/>
      <c r="CZ1" s="265"/>
      <c r="DA1" s="265"/>
      <c r="DB1" s="265"/>
      <c r="DC1" s="265"/>
      <c r="DD1" s="265"/>
      <c r="DE1" s="265"/>
      <c r="DF1" s="265"/>
      <c r="DG1" s="265"/>
      <c r="DH1" s="265"/>
      <c r="DI1" s="265"/>
      <c r="DJ1" s="265"/>
      <c r="DK1" s="265"/>
      <c r="DL1" s="265"/>
      <c r="DM1" s="265"/>
      <c r="DN1" s="265"/>
      <c r="DO1" s="265"/>
      <c r="DP1" s="265"/>
      <c r="DQ1" s="265"/>
      <c r="DR1" s="162"/>
      <c r="DS1" s="156"/>
      <c r="DT1" s="19"/>
      <c r="DU1" s="19"/>
      <c r="DV1" s="19"/>
      <c r="DW1" s="19"/>
      <c r="DX1" s="19"/>
      <c r="DY1" s="205"/>
      <c r="DZ1" s="19"/>
      <c r="EA1" s="19"/>
      <c r="EB1" s="158"/>
      <c r="EC1" s="19"/>
      <c r="ED1" s="19"/>
      <c r="EE1" s="19"/>
      <c r="EF1" s="19"/>
      <c r="EG1" s="19"/>
      <c r="EH1" s="19"/>
      <c r="EI1" s="19"/>
      <c r="EJ1" s="19"/>
      <c r="EK1" s="19"/>
      <c r="EL1" s="19"/>
      <c r="EM1" s="19"/>
      <c r="EN1" s="19"/>
      <c r="EO1" s="19"/>
      <c r="EP1" s="19"/>
      <c r="EQ1" s="19"/>
      <c r="ER1" s="19"/>
      <c r="ES1" s="19"/>
      <c r="ET1" s="19"/>
      <c r="EU1" s="19"/>
      <c r="EV1" s="20"/>
      <c r="EW1" s="266" t="s">
        <v>84</v>
      </c>
      <c r="EX1" s="267"/>
      <c r="EY1" s="267"/>
      <c r="EZ1" s="267"/>
      <c r="FA1" s="267"/>
      <c r="FB1" s="267"/>
      <c r="FC1" s="268"/>
      <c r="FD1" s="212"/>
      <c r="FE1" s="212"/>
      <c r="FF1" s="249" t="s">
        <v>549</v>
      </c>
      <c r="FG1" s="249"/>
      <c r="FH1" s="249"/>
      <c r="FI1" s="249"/>
      <c r="FJ1" s="249"/>
      <c r="FK1" s="249"/>
      <c r="FL1" s="249"/>
      <c r="FM1" s="249"/>
      <c r="FN1" s="249"/>
      <c r="FO1" s="249"/>
      <c r="FP1" s="249"/>
      <c r="FQ1" s="249"/>
      <c r="FR1" s="249"/>
      <c r="FS1" s="249"/>
      <c r="FT1" s="249"/>
      <c r="FU1" s="249"/>
      <c r="FV1" s="249"/>
      <c r="FW1" s="249"/>
      <c r="FX1" s="249"/>
      <c r="FY1" s="249"/>
      <c r="FZ1" s="249"/>
      <c r="GA1" s="249"/>
      <c r="GB1" s="249"/>
      <c r="GC1" s="249"/>
      <c r="GD1" s="249" t="s">
        <v>550</v>
      </c>
      <c r="GE1" s="249"/>
      <c r="GF1" s="249"/>
      <c r="GG1" s="249"/>
      <c r="GH1" s="251" t="s">
        <v>169</v>
      </c>
      <c r="GI1" s="252"/>
      <c r="GJ1" s="255" t="s">
        <v>680</v>
      </c>
      <c r="GK1" s="255"/>
    </row>
    <row r="2" spans="1:193" ht="15" customHeight="1" x14ac:dyDescent="0.55000000000000004">
      <c r="A2" s="143"/>
      <c r="B2" s="30"/>
      <c r="C2" s="43"/>
      <c r="D2" s="216" t="s">
        <v>27</v>
      </c>
      <c r="E2" s="217"/>
      <c r="F2" s="217"/>
      <c r="G2" s="217"/>
      <c r="H2" s="217"/>
      <c r="I2" s="217"/>
      <c r="J2" s="217"/>
      <c r="K2" s="217"/>
      <c r="L2" s="217"/>
      <c r="M2" s="217"/>
      <c r="N2" s="218"/>
      <c r="O2" s="216" t="s">
        <v>26</v>
      </c>
      <c r="P2" s="217"/>
      <c r="Q2" s="217"/>
      <c r="R2" s="217"/>
      <c r="S2" s="218"/>
      <c r="T2" s="259"/>
      <c r="U2" s="260"/>
      <c r="V2" s="260"/>
      <c r="W2" s="260"/>
      <c r="X2" s="260"/>
      <c r="Y2" s="260"/>
      <c r="Z2" s="260"/>
      <c r="AA2" s="261"/>
      <c r="AB2" s="263"/>
      <c r="AC2" s="25"/>
      <c r="AD2" s="26"/>
      <c r="AM2" s="27"/>
      <c r="AN2" s="67"/>
      <c r="AO2" s="19"/>
      <c r="AP2" s="19"/>
      <c r="AQ2" s="19"/>
      <c r="AR2" s="19"/>
      <c r="AS2" s="19"/>
      <c r="AT2" s="19"/>
      <c r="AU2" s="19"/>
      <c r="AV2" s="19"/>
      <c r="AW2" s="18"/>
      <c r="AX2" s="28"/>
      <c r="AY2" s="28"/>
      <c r="AZ2" s="28"/>
      <c r="BA2" s="28"/>
      <c r="BB2" s="28"/>
      <c r="BC2" s="28"/>
      <c r="BD2" s="28"/>
      <c r="BE2" s="28"/>
      <c r="BF2" s="28"/>
      <c r="BG2" s="28"/>
      <c r="BH2" s="19"/>
      <c r="BI2" s="19"/>
      <c r="BJ2" s="216" t="s">
        <v>520</v>
      </c>
      <c r="BK2" s="217"/>
      <c r="BL2" s="217"/>
      <c r="BM2" s="217"/>
      <c r="BN2" s="217"/>
      <c r="BO2" s="217"/>
      <c r="BP2" s="217"/>
      <c r="BQ2" s="217"/>
      <c r="BR2" s="217"/>
      <c r="BS2" s="217"/>
      <c r="BT2" s="217"/>
      <c r="BU2" s="12"/>
      <c r="BV2" s="80"/>
      <c r="BW2" s="80"/>
      <c r="BX2" s="80"/>
      <c r="BY2" s="80"/>
      <c r="BZ2" s="80"/>
      <c r="CA2" s="80"/>
      <c r="CB2" s="80"/>
      <c r="CC2" s="80"/>
      <c r="CD2" s="80"/>
      <c r="CE2" s="80"/>
      <c r="CF2" s="80"/>
      <c r="CG2" s="80"/>
      <c r="CH2" s="80"/>
      <c r="CI2" s="80"/>
      <c r="CJ2" s="80"/>
      <c r="CK2" s="80"/>
      <c r="CL2" s="80"/>
      <c r="CM2" s="80"/>
      <c r="CN2" s="80"/>
      <c r="CO2" s="80"/>
      <c r="CP2" s="80"/>
      <c r="CQ2" s="80"/>
      <c r="CR2" s="80"/>
      <c r="CS2" s="80"/>
      <c r="CT2" s="28"/>
      <c r="CU2" s="28"/>
      <c r="CV2" s="28"/>
      <c r="CW2" s="28"/>
      <c r="CX2" s="28"/>
      <c r="CY2" s="28"/>
      <c r="CZ2" s="28"/>
      <c r="DA2" s="28"/>
      <c r="DB2" s="28"/>
      <c r="DC2" s="28"/>
      <c r="DD2" s="28"/>
      <c r="DE2" s="78"/>
      <c r="DF2" s="78"/>
      <c r="DG2" s="28"/>
      <c r="DH2" s="28"/>
      <c r="DI2" s="28"/>
      <c r="DJ2" s="28"/>
      <c r="DK2" s="28"/>
      <c r="DL2" s="28"/>
      <c r="DM2" s="28"/>
      <c r="DN2" s="28"/>
      <c r="DO2" s="28"/>
      <c r="DP2" s="28"/>
      <c r="DQ2" s="19"/>
      <c r="DR2" s="163"/>
      <c r="DS2" s="19"/>
      <c r="DT2" s="19"/>
      <c r="DU2" s="19"/>
      <c r="DV2" s="19"/>
      <c r="DW2" s="19"/>
      <c r="DX2" s="19"/>
      <c r="DY2" s="205"/>
      <c r="DZ2" s="19"/>
      <c r="EA2" s="19"/>
      <c r="EB2" s="158"/>
      <c r="EC2" s="19"/>
      <c r="ED2" s="19"/>
      <c r="EE2" s="19"/>
      <c r="EF2" s="19"/>
      <c r="EG2" s="19"/>
      <c r="EH2" s="19"/>
      <c r="EI2" s="19"/>
      <c r="EJ2" s="19"/>
      <c r="EK2" s="19"/>
      <c r="EL2" s="19"/>
      <c r="EM2" s="19"/>
      <c r="EN2" s="19"/>
      <c r="EO2" s="19"/>
      <c r="EP2" s="28"/>
      <c r="EQ2" s="28"/>
      <c r="ER2" s="28"/>
      <c r="ES2" s="19"/>
      <c r="ET2" s="19"/>
      <c r="EU2" s="19"/>
      <c r="EV2" s="20"/>
      <c r="EW2" s="269"/>
      <c r="EX2" s="270"/>
      <c r="EY2" s="270"/>
      <c r="EZ2" s="270"/>
      <c r="FA2" s="270"/>
      <c r="FB2" s="270"/>
      <c r="FC2" s="271"/>
      <c r="FD2" s="213"/>
      <c r="FE2" s="213"/>
      <c r="FF2" s="250"/>
      <c r="FG2" s="250"/>
      <c r="FH2" s="250"/>
      <c r="FI2" s="250"/>
      <c r="FJ2" s="250"/>
      <c r="FK2" s="250"/>
      <c r="FL2" s="250"/>
      <c r="FM2" s="250"/>
      <c r="FN2" s="250"/>
      <c r="FO2" s="250"/>
      <c r="FP2" s="250"/>
      <c r="FQ2" s="250"/>
      <c r="FR2" s="250"/>
      <c r="FS2" s="250"/>
      <c r="FT2" s="250"/>
      <c r="FU2" s="250"/>
      <c r="FV2" s="250"/>
      <c r="FW2" s="250"/>
      <c r="FX2" s="250"/>
      <c r="FY2" s="250"/>
      <c r="FZ2" s="250"/>
      <c r="GA2" s="250"/>
      <c r="GB2" s="250"/>
      <c r="GC2" s="250"/>
      <c r="GD2" s="250"/>
      <c r="GE2" s="250"/>
      <c r="GF2" s="250"/>
      <c r="GG2" s="250"/>
      <c r="GH2" s="253"/>
      <c r="GI2" s="254"/>
      <c r="GJ2" s="255"/>
      <c r="GK2" s="255"/>
    </row>
    <row r="3" spans="1:193" s="1" customFormat="1" ht="66" customHeight="1" x14ac:dyDescent="0.55000000000000004">
      <c r="A3" s="2" t="s">
        <v>0</v>
      </c>
      <c r="B3" s="2" t="s">
        <v>23</v>
      </c>
      <c r="C3" s="146" t="s">
        <v>24</v>
      </c>
      <c r="D3" s="2" t="s">
        <v>16</v>
      </c>
      <c r="E3" s="2" t="s">
        <v>17</v>
      </c>
      <c r="F3" s="1" t="s">
        <v>554</v>
      </c>
      <c r="G3" s="2" t="s">
        <v>555</v>
      </c>
      <c r="H3" s="2" t="s">
        <v>120</v>
      </c>
      <c r="I3" s="2" t="s">
        <v>121</v>
      </c>
      <c r="J3" s="2" t="s">
        <v>22</v>
      </c>
      <c r="K3" s="2" t="s">
        <v>165</v>
      </c>
      <c r="L3" s="2" t="s">
        <v>546</v>
      </c>
      <c r="M3" s="2" t="s">
        <v>514</v>
      </c>
      <c r="N3" s="2" t="s">
        <v>25</v>
      </c>
      <c r="O3" s="2" t="s">
        <v>544</v>
      </c>
      <c r="P3" s="2" t="s">
        <v>136</v>
      </c>
      <c r="Q3" s="147" t="s">
        <v>200</v>
      </c>
      <c r="R3" s="147" t="s">
        <v>199</v>
      </c>
      <c r="S3" s="2" t="s">
        <v>551</v>
      </c>
      <c r="T3" s="2" t="s">
        <v>19</v>
      </c>
      <c r="U3" s="2" t="s">
        <v>540</v>
      </c>
      <c r="V3" s="2" t="s">
        <v>74</v>
      </c>
      <c r="W3" s="2" t="s">
        <v>542</v>
      </c>
      <c r="X3" s="2" t="s">
        <v>543</v>
      </c>
      <c r="Y3" s="2" t="s">
        <v>118</v>
      </c>
      <c r="Z3" s="2" t="s">
        <v>119</v>
      </c>
      <c r="AA3" s="2" t="s">
        <v>143</v>
      </c>
      <c r="AB3" s="2" t="s">
        <v>179</v>
      </c>
      <c r="AC3" s="2" t="s">
        <v>18</v>
      </c>
      <c r="AD3" s="2" t="s">
        <v>1</v>
      </c>
      <c r="AE3" s="2" t="s">
        <v>545</v>
      </c>
      <c r="AF3" s="3" t="s">
        <v>113</v>
      </c>
      <c r="AG3" s="3" t="s">
        <v>114</v>
      </c>
      <c r="AH3" s="165" t="s">
        <v>679</v>
      </c>
      <c r="AI3" s="165" t="s">
        <v>761</v>
      </c>
      <c r="AJ3" s="165" t="s">
        <v>759</v>
      </c>
      <c r="AK3" s="165" t="s">
        <v>760</v>
      </c>
      <c r="AL3" s="165" t="s">
        <v>758</v>
      </c>
      <c r="AM3" s="3" t="s">
        <v>552</v>
      </c>
      <c r="AN3" s="3" t="s">
        <v>168</v>
      </c>
      <c r="AO3" s="3" t="s">
        <v>116</v>
      </c>
      <c r="AP3" s="3" t="s">
        <v>117</v>
      </c>
      <c r="AQ3" s="3" t="s">
        <v>163</v>
      </c>
      <c r="AR3" s="3" t="s">
        <v>166</v>
      </c>
      <c r="AS3" s="3" t="s">
        <v>167</v>
      </c>
      <c r="AT3" s="3" t="s">
        <v>553</v>
      </c>
      <c r="AU3" s="3" t="s">
        <v>164</v>
      </c>
      <c r="AV3" s="3" t="s">
        <v>744</v>
      </c>
      <c r="AW3" s="2" t="s">
        <v>745</v>
      </c>
      <c r="AX3" s="2" t="s">
        <v>746</v>
      </c>
      <c r="AY3" s="2" t="s">
        <v>568</v>
      </c>
      <c r="AZ3" s="2" t="s">
        <v>569</v>
      </c>
      <c r="BA3" s="2" t="s">
        <v>570</v>
      </c>
      <c r="BB3" s="2" t="s">
        <v>142</v>
      </c>
      <c r="BC3" s="2" t="s">
        <v>144</v>
      </c>
      <c r="BD3" s="2" t="s">
        <v>743</v>
      </c>
      <c r="BE3" s="2" t="s">
        <v>742</v>
      </c>
      <c r="BF3" s="2" t="s">
        <v>741</v>
      </c>
      <c r="BG3" s="2" t="s">
        <v>9</v>
      </c>
      <c r="BH3" s="2" t="s">
        <v>10</v>
      </c>
      <c r="BI3" s="2" t="s">
        <v>547</v>
      </c>
      <c r="BJ3" s="2" t="s">
        <v>515</v>
      </c>
      <c r="BK3" s="2" t="s">
        <v>516</v>
      </c>
      <c r="BL3" s="2" t="s">
        <v>517</v>
      </c>
      <c r="BM3" s="2" t="s">
        <v>518</v>
      </c>
      <c r="BN3" s="2" t="s">
        <v>521</v>
      </c>
      <c r="BO3" s="2" t="s">
        <v>519</v>
      </c>
      <c r="BP3" s="2" t="s">
        <v>526</v>
      </c>
      <c r="BQ3" s="2" t="s">
        <v>527</v>
      </c>
      <c r="BR3" s="2" t="s">
        <v>558</v>
      </c>
      <c r="BS3" s="2" t="s">
        <v>557</v>
      </c>
      <c r="BT3" s="2" t="s">
        <v>232</v>
      </c>
      <c r="BU3" s="2" t="s">
        <v>571</v>
      </c>
      <c r="BV3" s="81" t="s">
        <v>220</v>
      </c>
      <c r="BW3" s="81" t="s">
        <v>221</v>
      </c>
      <c r="BX3" s="81" t="s">
        <v>222</v>
      </c>
      <c r="BY3" s="81" t="s">
        <v>223</v>
      </c>
      <c r="BZ3" s="81" t="s">
        <v>224</v>
      </c>
      <c r="CA3" s="81" t="s">
        <v>225</v>
      </c>
      <c r="CB3" s="81" t="s">
        <v>226</v>
      </c>
      <c r="CC3" s="81" t="s">
        <v>227</v>
      </c>
      <c r="CD3" s="81" t="s">
        <v>228</v>
      </c>
      <c r="CE3" s="81" t="s">
        <v>229</v>
      </c>
      <c r="CF3" s="81" t="s">
        <v>230</v>
      </c>
      <c r="CG3" s="81" t="s">
        <v>231</v>
      </c>
      <c r="CH3" s="81" t="s">
        <v>539</v>
      </c>
      <c r="CI3" s="81" t="s">
        <v>528</v>
      </c>
      <c r="CJ3" s="81" t="s">
        <v>533</v>
      </c>
      <c r="CK3" s="81" t="s">
        <v>532</v>
      </c>
      <c r="CL3" s="81" t="s">
        <v>529</v>
      </c>
      <c r="CM3" s="81" t="s">
        <v>530</v>
      </c>
      <c r="CN3" s="81" t="s">
        <v>531</v>
      </c>
      <c r="CO3" s="81" t="s">
        <v>535</v>
      </c>
      <c r="CP3" s="81" t="s">
        <v>534</v>
      </c>
      <c r="CQ3" s="81" t="s">
        <v>536</v>
      </c>
      <c r="CR3" s="81" t="s">
        <v>537</v>
      </c>
      <c r="CS3" s="81" t="s">
        <v>538</v>
      </c>
      <c r="CT3" s="2" t="s">
        <v>244</v>
      </c>
      <c r="CU3" s="2" t="s">
        <v>245</v>
      </c>
      <c r="CV3" s="2" t="s">
        <v>246</v>
      </c>
      <c r="CW3" s="2" t="s">
        <v>248</v>
      </c>
      <c r="CX3" s="2" t="s">
        <v>249</v>
      </c>
      <c r="CY3" s="2" t="s">
        <v>250</v>
      </c>
      <c r="CZ3" s="2" t="s">
        <v>251</v>
      </c>
      <c r="DA3" s="2" t="s">
        <v>252</v>
      </c>
      <c r="DB3" s="2" t="s">
        <v>253</v>
      </c>
      <c r="DC3" s="2" t="s">
        <v>254</v>
      </c>
      <c r="DD3" s="2" t="s">
        <v>255</v>
      </c>
      <c r="DE3" s="79" t="s">
        <v>242</v>
      </c>
      <c r="DF3" s="79" t="s">
        <v>243</v>
      </c>
      <c r="DG3" s="2" t="s">
        <v>247</v>
      </c>
      <c r="DH3" s="2" t="s">
        <v>256</v>
      </c>
      <c r="DI3" s="2" t="s">
        <v>257</v>
      </c>
      <c r="DJ3" s="2" t="s">
        <v>258</v>
      </c>
      <c r="DK3" s="2" t="s">
        <v>259</v>
      </c>
      <c r="DL3" s="2" t="s">
        <v>260</v>
      </c>
      <c r="DM3" s="2" t="s">
        <v>261</v>
      </c>
      <c r="DN3" s="2" t="s">
        <v>262</v>
      </c>
      <c r="DO3" s="2" t="s">
        <v>263</v>
      </c>
      <c r="DP3" s="2" t="s">
        <v>264</v>
      </c>
      <c r="DQ3" s="2" t="s">
        <v>6</v>
      </c>
      <c r="DR3" s="79" t="s">
        <v>590</v>
      </c>
      <c r="DS3" s="2" t="s">
        <v>572</v>
      </c>
      <c r="DT3" s="2" t="s">
        <v>736</v>
      </c>
      <c r="DU3" s="2" t="s">
        <v>737</v>
      </c>
      <c r="DV3" s="2" t="s">
        <v>189</v>
      </c>
      <c r="DW3" s="2" t="s">
        <v>265</v>
      </c>
      <c r="DX3" s="2" t="s">
        <v>266</v>
      </c>
      <c r="DY3" s="206" t="s">
        <v>798</v>
      </c>
      <c r="DZ3" s="2" t="s">
        <v>573</v>
      </c>
      <c r="EA3" s="2" t="s">
        <v>195</v>
      </c>
      <c r="EB3" s="81" t="s">
        <v>574</v>
      </c>
      <c r="EC3" s="2" t="s">
        <v>190</v>
      </c>
      <c r="ED3" s="2" t="s">
        <v>191</v>
      </c>
      <c r="EE3" s="2" t="s">
        <v>192</v>
      </c>
      <c r="EF3" s="2" t="s">
        <v>193</v>
      </c>
      <c r="EG3" s="2" t="s">
        <v>194</v>
      </c>
      <c r="EH3" s="2" t="s">
        <v>186</v>
      </c>
      <c r="EI3" s="2" t="s">
        <v>187</v>
      </c>
      <c r="EJ3" s="2" t="s">
        <v>188</v>
      </c>
      <c r="EK3" s="2" t="s">
        <v>196</v>
      </c>
      <c r="EL3" s="2" t="s">
        <v>197</v>
      </c>
      <c r="EM3" s="2" t="s">
        <v>775</v>
      </c>
      <c r="EN3" s="2" t="s">
        <v>776</v>
      </c>
      <c r="EO3" s="2" t="s">
        <v>777</v>
      </c>
      <c r="EP3" s="2" t="s">
        <v>778</v>
      </c>
      <c r="EQ3" s="2" t="s">
        <v>779</v>
      </c>
      <c r="ER3" s="2" t="s">
        <v>13</v>
      </c>
      <c r="ES3" s="1" t="s">
        <v>780</v>
      </c>
      <c r="ET3" s="2" t="s">
        <v>781</v>
      </c>
      <c r="EU3" s="2" t="s">
        <v>198</v>
      </c>
      <c r="EV3" s="2" t="s">
        <v>782</v>
      </c>
      <c r="EW3" s="79" t="s">
        <v>556</v>
      </c>
      <c r="EX3" s="2" t="s">
        <v>85</v>
      </c>
      <c r="EY3" s="2" t="s">
        <v>12</v>
      </c>
      <c r="EZ3" s="2" t="s">
        <v>763</v>
      </c>
      <c r="FA3" s="2" t="s">
        <v>185</v>
      </c>
      <c r="FB3" s="2" t="s">
        <v>5</v>
      </c>
      <c r="FC3" s="2" t="s">
        <v>589</v>
      </c>
      <c r="FD3" s="2" t="s">
        <v>824</v>
      </c>
      <c r="FE3" s="2" t="s">
        <v>825</v>
      </c>
      <c r="FF3" s="2" t="s">
        <v>765</v>
      </c>
      <c r="FG3" s="2" t="s">
        <v>788</v>
      </c>
      <c r="FH3" s="2" t="s">
        <v>787</v>
      </c>
      <c r="FI3" s="2" t="s">
        <v>762</v>
      </c>
      <c r="FJ3" s="2" t="s">
        <v>789</v>
      </c>
      <c r="FK3" s="2" t="s">
        <v>790</v>
      </c>
      <c r="FL3" s="2" t="s">
        <v>791</v>
      </c>
      <c r="FM3" s="2" t="s">
        <v>792</v>
      </c>
      <c r="FN3" s="2" t="s">
        <v>793</v>
      </c>
      <c r="FO3" s="2" t="s">
        <v>794</v>
      </c>
      <c r="FP3" s="2" t="s">
        <v>795</v>
      </c>
      <c r="FQ3" s="2" t="s">
        <v>796</v>
      </c>
      <c r="FR3" s="2" t="s">
        <v>797</v>
      </c>
      <c r="FS3" s="2" t="s">
        <v>804</v>
      </c>
      <c r="FT3" s="2" t="s">
        <v>805</v>
      </c>
      <c r="FU3" s="2" t="s">
        <v>806</v>
      </c>
      <c r="FV3" s="2" t="s">
        <v>807</v>
      </c>
      <c r="FW3" s="2" t="s">
        <v>808</v>
      </c>
      <c r="FX3" s="2" t="s">
        <v>809</v>
      </c>
      <c r="FY3" s="2" t="s">
        <v>810</v>
      </c>
      <c r="FZ3" s="2" t="s">
        <v>812</v>
      </c>
      <c r="GA3" s="2" t="s">
        <v>813</v>
      </c>
      <c r="GB3" s="2" t="s">
        <v>811</v>
      </c>
      <c r="GC3" s="2" t="s">
        <v>575</v>
      </c>
      <c r="GD3" s="2" t="s">
        <v>548</v>
      </c>
      <c r="GE3" s="2" t="s">
        <v>147</v>
      </c>
      <c r="GF3" s="2" t="s">
        <v>148</v>
      </c>
      <c r="GG3" s="2" t="s">
        <v>149</v>
      </c>
      <c r="GH3" s="2" t="s">
        <v>156</v>
      </c>
      <c r="GI3" s="57" t="s">
        <v>150</v>
      </c>
      <c r="GJ3" s="57" t="s">
        <v>678</v>
      </c>
      <c r="GK3" s="57" t="s">
        <v>677</v>
      </c>
    </row>
    <row r="4" spans="1:193" s="1" customFormat="1" ht="15.3" customHeight="1" x14ac:dyDescent="0.55000000000000004">
      <c r="A4" s="59">
        <f>$G$125-1</f>
        <v>2024</v>
      </c>
      <c r="B4" s="2"/>
      <c r="C4" s="2"/>
      <c r="D4" s="2"/>
      <c r="E4" s="2"/>
      <c r="F4" s="2"/>
      <c r="G4" s="2"/>
      <c r="H4" s="2"/>
      <c r="I4" s="2"/>
      <c r="J4" s="2"/>
      <c r="K4" s="2"/>
      <c r="L4" s="2"/>
      <c r="M4" s="2"/>
      <c r="N4" s="2"/>
      <c r="O4" s="2"/>
      <c r="P4" s="2"/>
      <c r="Q4" s="147"/>
      <c r="R4" s="147"/>
      <c r="S4" s="2"/>
      <c r="T4" s="2"/>
      <c r="U4" s="2"/>
      <c r="V4" s="2"/>
      <c r="W4" s="2"/>
      <c r="X4" s="2"/>
      <c r="Y4" s="2"/>
      <c r="Z4" s="2"/>
      <c r="AA4" s="2"/>
      <c r="AB4" s="2"/>
      <c r="AC4" s="57">
        <f>$G110</f>
        <v>60000</v>
      </c>
      <c r="AD4" s="57">
        <f>$G113</f>
        <v>0</v>
      </c>
      <c r="AE4" s="57">
        <f>AF4+AG4</f>
        <v>600000</v>
      </c>
      <c r="AF4" s="56">
        <f>$G$111</f>
        <v>360000</v>
      </c>
      <c r="AG4" s="56">
        <f>IF(G$124="NONE", 0, $G$112)</f>
        <v>240000</v>
      </c>
      <c r="AH4" s="165"/>
      <c r="AI4" s="165"/>
      <c r="AJ4" s="165"/>
      <c r="AK4" s="165"/>
      <c r="AL4" s="165"/>
      <c r="AM4" s="3"/>
      <c r="AN4" s="3"/>
      <c r="AO4" s="3"/>
      <c r="AP4" s="3"/>
      <c r="AQ4" s="3"/>
      <c r="AR4" s="3"/>
      <c r="AS4" s="3"/>
      <c r="AT4" s="3"/>
      <c r="AU4" s="3"/>
      <c r="AV4" s="3"/>
      <c r="AW4" s="2"/>
      <c r="AX4" s="2"/>
      <c r="AY4" s="2"/>
      <c r="AZ4" s="2"/>
      <c r="BA4" s="2"/>
      <c r="BB4" s="2"/>
      <c r="BC4" s="2"/>
      <c r="BD4" s="2"/>
      <c r="BE4" s="2"/>
      <c r="BF4" s="2"/>
      <c r="BG4" s="2"/>
      <c r="BH4" s="2"/>
      <c r="BI4" s="2"/>
      <c r="BJ4" s="2"/>
      <c r="BK4" s="2"/>
      <c r="BL4" s="2"/>
      <c r="BM4" s="2"/>
      <c r="BN4" s="2"/>
      <c r="BO4" s="2"/>
      <c r="BP4" s="2"/>
      <c r="BQ4" s="2"/>
      <c r="BR4" s="2"/>
      <c r="BS4" s="2"/>
      <c r="BT4" s="2"/>
      <c r="BU4" s="2"/>
      <c r="BV4" s="81"/>
      <c r="BW4" s="81"/>
      <c r="BX4" s="81"/>
      <c r="BY4" s="81"/>
      <c r="BZ4" s="81"/>
      <c r="CA4" s="81"/>
      <c r="CB4" s="81"/>
      <c r="CC4" s="81"/>
      <c r="CD4" s="81"/>
      <c r="CE4" s="81"/>
      <c r="CF4" s="81"/>
      <c r="CG4" s="81"/>
      <c r="CH4" s="81"/>
      <c r="CI4" s="81"/>
      <c r="CJ4" s="81"/>
      <c r="CK4" s="81"/>
      <c r="CL4" s="81"/>
      <c r="CM4" s="81"/>
      <c r="CN4" s="81"/>
      <c r="CO4" s="81"/>
      <c r="CP4" s="81"/>
      <c r="CQ4" s="81"/>
      <c r="CR4" s="81"/>
      <c r="CS4" s="81"/>
      <c r="CT4" s="2"/>
      <c r="CU4" s="2"/>
      <c r="CV4" s="2"/>
      <c r="CW4" s="2"/>
      <c r="CX4" s="2"/>
      <c r="CY4" s="2"/>
      <c r="CZ4" s="2"/>
      <c r="DA4" s="2"/>
      <c r="DB4" s="2"/>
      <c r="DC4" s="2"/>
      <c r="DD4" s="2"/>
      <c r="DE4" s="79"/>
      <c r="DF4" s="79"/>
      <c r="DG4" s="2"/>
      <c r="DH4" s="2"/>
      <c r="DI4" s="2"/>
      <c r="DJ4" s="2"/>
      <c r="DK4" s="2"/>
      <c r="DL4" s="2"/>
      <c r="DM4" s="2"/>
      <c r="DN4" s="2"/>
      <c r="DO4" s="2"/>
      <c r="DP4" s="2"/>
      <c r="DQ4" s="2"/>
      <c r="DR4" s="79"/>
      <c r="DS4" s="2"/>
      <c r="DT4" s="2"/>
      <c r="DU4" s="2"/>
      <c r="DV4" s="2"/>
      <c r="DW4" s="2"/>
      <c r="DX4" s="2"/>
      <c r="DY4" s="206"/>
      <c r="DZ4" s="2"/>
      <c r="EA4" s="2"/>
      <c r="EB4" s="81"/>
      <c r="EC4" s="2"/>
      <c r="ED4" s="2"/>
      <c r="EE4" s="2"/>
      <c r="EF4" s="2"/>
      <c r="EG4" s="2"/>
      <c r="EH4" s="2"/>
      <c r="EI4" s="2"/>
      <c r="EJ4" s="2"/>
      <c r="EK4" s="2"/>
      <c r="EL4" s="2"/>
      <c r="EM4" s="2"/>
      <c r="EN4" s="2"/>
      <c r="EO4" s="2"/>
      <c r="ES4" s="2"/>
      <c r="ET4" s="2"/>
      <c r="EU4" s="2"/>
      <c r="EV4" s="2"/>
      <c r="EW4" s="79"/>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v>0</v>
      </c>
      <c r="GE4" s="2"/>
      <c r="GF4" s="2">
        <v>0</v>
      </c>
      <c r="GG4" s="2">
        <v>0</v>
      </c>
      <c r="GH4" s="2"/>
      <c r="GI4" s="57"/>
      <c r="GJ4" s="57"/>
      <c r="GK4" s="57"/>
    </row>
    <row r="5" spans="1:193" x14ac:dyDescent="0.55000000000000004">
      <c r="A5" s="60">
        <f t="shared" ref="A5:A38" si="0">A4+1</f>
        <v>2025</v>
      </c>
      <c r="B5" s="60">
        <f t="shared" ref="B5:B38" si="1">A5-YEAR(G$123)</f>
        <v>62</v>
      </c>
      <c r="C5" s="60">
        <f t="shared" ref="C5:C38" si="2">IF(G$124="NONE",0,A5-YEAR(G$124))</f>
        <v>62</v>
      </c>
      <c r="D5" s="7">
        <f t="shared" ref="D5:D38" si="3">IF(B5&lt;G$95, 1, G$131) * IF(A5&gt;=$G$120, FV($G$92 * $G$129,A5-G$125,0, -$G$119))</f>
        <v>0</v>
      </c>
      <c r="E5" s="7">
        <f t="shared" ref="E5:E38" si="4">IF(C$5&lt;G$96,1, G$132) * IF(G$124="NONE",0,IF(A5&gt;=$G$122, FV($G$92 *G$130,A5-G$125,0, -$G$121),0))</f>
        <v>0</v>
      </c>
      <c r="F5" s="7">
        <f t="shared" ref="F5:F38" si="5">IF(A5&lt;=$G$116, $G$115,0)</f>
        <v>0</v>
      </c>
      <c r="G5" s="7">
        <f t="shared" ref="G5:G38" si="6">IF(G$124="NONE",0,IF(A5&lt;=$G$118, $G$117,0))</f>
        <v>0</v>
      </c>
      <c r="H5" s="7">
        <f t="shared" ref="H5:H38" si="7">FV($G$146,A5-G$125,0, -IF(A5&lt;$G$147, 0, IF(A5=$G$147, (13-$G$148)/12,1)*$G$144))</f>
        <v>0</v>
      </c>
      <c r="I5" s="7">
        <f t="shared" ref="I5:I38" si="8">IF(G$124="NONE",0,FV($G$146,A5-G$125,0, -IF(A5&lt;$G$149, 0, IF(A5=$G$149, (13-$G$150)/12,1)*$G$145)))</f>
        <v>9755.9000000000015</v>
      </c>
      <c r="J5" s="7">
        <f t="shared" ref="J5:J38" si="9">IF(DV5, MAX(H5,I5), H5+I5)</f>
        <v>9755.9000000000015</v>
      </c>
      <c r="K5" s="7">
        <f t="shared" ref="K5:K38" si="10">SUM(D5:G5)</f>
        <v>0</v>
      </c>
      <c r="L5" s="7">
        <f t="shared" ref="L5:L38" si="11">F5 + G5</f>
        <v>0</v>
      </c>
      <c r="M5" s="7">
        <f t="shared" ref="M5:M38" si="12">D5 + E5</f>
        <v>0</v>
      </c>
      <c r="N5" s="7">
        <f t="shared" ref="N5:N38" si="13">J5+L5+M5</f>
        <v>9755.9000000000015</v>
      </c>
      <c r="O5" s="7">
        <f t="shared" ref="O5:O38" si="14">Q5 + R5</f>
        <v>0</v>
      </c>
      <c r="P5" s="7">
        <v>0</v>
      </c>
      <c r="Q5" s="29">
        <v>0</v>
      </c>
      <c r="R5" s="29">
        <v>0</v>
      </c>
      <c r="S5" s="7">
        <v>48207.270582787598</v>
      </c>
      <c r="T5" s="7">
        <f t="shared" ref="T5:T38" si="15">AC5*G$90</f>
        <v>505.71711419772424</v>
      </c>
      <c r="U5" s="7">
        <f t="shared" ref="U5:U38" si="16">W5+X5</f>
        <v>0</v>
      </c>
      <c r="V5" s="7">
        <f t="shared" ref="V5:V38" si="17">IF(AN5-O5&lt;0,0,AN5-O5)</f>
        <v>0</v>
      </c>
      <c r="W5" s="7"/>
      <c r="X5" s="7"/>
      <c r="Y5" s="7">
        <f t="shared" ref="Y5:Z38" si="18">IF(Q5&gt;AO5,0,AO5-Q5)</f>
        <v>0</v>
      </c>
      <c r="Z5" s="7">
        <f t="shared" si="18"/>
        <v>0</v>
      </c>
      <c r="AA5" s="7">
        <f t="shared" ref="AA5:AA38" si="19">S5 * G$101</f>
        <v>16872.544703975658</v>
      </c>
      <c r="AB5" s="7"/>
      <c r="AC5" s="7">
        <f t="shared" ref="AC5:AC38" si="20">(AC4+(AB5+V5-S5)/2)*(1+G$154)+(AB5+V5-S5)/2</f>
        <v>14449.060405649263</v>
      </c>
      <c r="AD5" s="7">
        <f t="shared" ref="AD5:AD38" si="21">(AD4+(U5-P5)/2)*(1+G$89) + (U5-P5)/2</f>
        <v>0</v>
      </c>
      <c r="AE5" s="7">
        <f t="shared" ref="AE5:AE38" si="22">AF5 + AG5</f>
        <v>644400</v>
      </c>
      <c r="AF5" s="9">
        <f t="shared" ref="AF5:AF38" si="23">($AF4-(Q5+W5+Y5)/2)*(1+G$89)-(Q5+W5+Y5)/2</f>
        <v>386640</v>
      </c>
      <c r="AG5" s="56">
        <f t="shared" ref="AG5:AG38" si="24">($AG4-(R5+X5+Z5)/2)*(1+G$89)-(R5+X5+Z5)/2</f>
        <v>257760.00000000003</v>
      </c>
      <c r="AH5" s="165">
        <f t="shared" ref="AH5:AH38" si="25">1-(G$157+G$158*IF(AE5&gt;AE$4,1,AE5/AE$4))</f>
        <v>0.84</v>
      </c>
      <c r="AI5" s="56">
        <f>AC5+AD5+AE5</f>
        <v>658849.06040564924</v>
      </c>
      <c r="AJ5" s="56">
        <f t="shared" ref="AJ5:AJ38" si="26">(AC5*G$94) * DY5</f>
        <v>14449.060405649263</v>
      </c>
      <c r="AK5" s="56">
        <f t="shared" ref="AK5:AK38" si="27">AD5 * DY5</f>
        <v>0</v>
      </c>
      <c r="AL5" s="56">
        <f>(AE5*AH5)  * DY5</f>
        <v>541296</v>
      </c>
      <c r="AM5" s="9">
        <f>AJ5+AK5+AL5</f>
        <v>555745.06040564924</v>
      </c>
      <c r="AN5" s="9">
        <f t="shared" ref="AN5:AN38" si="28">AO5+AP5</f>
        <v>0</v>
      </c>
      <c r="AO5" s="9">
        <f t="shared" ref="AO5:AO38" si="29">IF(B5&lt; $G$159, 0, AF4/_xlfn.XLOOKUP(B5,A$251:A$285,B$251:B$285))</f>
        <v>0</v>
      </c>
      <c r="AP5" s="9">
        <f t="shared" ref="AP5:AP38" si="30">IF(C5&lt; $G$160, 0, AG4/_xlfn.XLOOKUP(C5,A$251:A$285,B$251:B$285))</f>
        <v>0</v>
      </c>
      <c r="AQ5" s="9">
        <f>AV5 + J5/2</f>
        <v>22256.211818173382</v>
      </c>
      <c r="AR5" s="9">
        <f t="shared" ref="AR5:AR38" si="31">IF(DV5,25000,32000)</f>
        <v>32000</v>
      </c>
      <c r="AS5" s="9">
        <f t="shared" ref="AS5:AS38" si="32">IF(DV5,34000, 44000)</f>
        <v>44000</v>
      </c>
      <c r="AT5" s="9">
        <f t="shared" ref="AT5:AT38" si="33">O5+U5+V5</f>
        <v>0</v>
      </c>
      <c r="AU5" s="9">
        <f>IF(AQ5&lt;AR5,0,MIN(0.85*J5,MIN(AS5-AR5,AQ5-AR5)*0.5*J5+IF(AQ5&gt;AS5,0.85*(AQ5-AS5),0)*J5))</f>
        <v>0</v>
      </c>
      <c r="AV5" s="9">
        <f>MAX(0,K5+L5+M5+O5+U5+V5+T5+AA5)</f>
        <v>17378.261818173381</v>
      </c>
      <c r="AW5" s="7">
        <f xml:space="preserve"> K5+J5+O5 +T5 + U5 + V5 + AA5</f>
        <v>27134.161818173387</v>
      </c>
      <c r="AX5" s="7">
        <f xml:space="preserve"> K5+AU5+O5 +T5 + U5 + V5 + AA5</f>
        <v>17378.261818173381</v>
      </c>
      <c r="AY5" s="7">
        <f t="shared" ref="AY5:AY38" si="34">T5+AA5</f>
        <v>17378.261818173381</v>
      </c>
      <c r="AZ5" s="7">
        <f>MAX(0,MIN(AX5-IF(DV5,125000,250000),AY5))</f>
        <v>0</v>
      </c>
      <c r="BA5" s="7">
        <f t="shared" ref="BA5:BA38" si="35">AZ5*0.038</f>
        <v>0</v>
      </c>
      <c r="BB5" s="7">
        <f t="shared" ref="BB5:BB38" si="36">(F5 * G$127 +G5*G$128) * 0.075</f>
        <v>0</v>
      </c>
      <c r="BC5" s="7">
        <f t="shared" ref="BC5:BC38" si="37">AA5 * 0.15</f>
        <v>2530.8817055963486</v>
      </c>
      <c r="BD5" s="7">
        <f t="shared" ref="BD5:BD38" si="38">FV(G$146,A5-G$125,0,-G$108) *IF(DV5,0.5,1)</f>
        <v>29200</v>
      </c>
      <c r="BE5" s="7">
        <f t="shared" ref="BE5:BE38" si="39">IF(DU5,1,2)*IF(A5&lt;G$102,G$143,FV(G$146,A5-G$102,0,-G$143))+IF(A5&lt;G$102,G$114,FV(G$146,A5-G$102,0,-G$114))+DQ5</f>
        <v>21596.131826939196</v>
      </c>
      <c r="BF5" s="7">
        <f>IF(DU5,BD5,BE5)</f>
        <v>21596.131826939196</v>
      </c>
      <c r="BG5" s="7">
        <f>MAX(0,K5+ AU5+O5+T5 + U5 + V5 - BD5)</f>
        <v>0</v>
      </c>
      <c r="BH5" s="7">
        <f>MAX(0,K5+AU5+O5+T5+U5+V5-BE5)</f>
        <v>0</v>
      </c>
      <c r="BI5" s="7">
        <f>IF(DU5,BH5,BG5)</f>
        <v>0</v>
      </c>
      <c r="BJ5" s="7">
        <f t="shared" ref="BJ5:BJ38" si="40">IF(DW5, IF(F$174, T5,0),IF(G$174,T5,0))</f>
        <v>505.71711419772424</v>
      </c>
      <c r="BK5" s="7">
        <f t="shared" ref="BK5:BK38" si="41">IF(DW5, IF(F$172, L5,0),IF(G$172,L5,0))</f>
        <v>0</v>
      </c>
      <c r="BL5" s="7">
        <f t="shared" ref="BL5:BL38" si="42">IF(DW5, IF(F$170, M5,0),IF(G$170,M5,0))</f>
        <v>0</v>
      </c>
      <c r="BM5" s="7">
        <f t="shared" ref="BM5:BM38" si="43">IF(DW5, IF(F$171, AT5,0),IF(G$171,AT5,0))</f>
        <v>0</v>
      </c>
      <c r="BN5" s="7">
        <f t="shared" ref="BN5:BN38" si="44">IF(DW5, IF(F$175, AA5,0),IF(G$175,AA5,0))</f>
        <v>16872.544703975658</v>
      </c>
      <c r="BO5" s="7">
        <f t="shared" ref="BO5:BO38" si="45">IF(DW5, F$173*J5,H$173*J5)</f>
        <v>0</v>
      </c>
      <c r="BP5" s="7">
        <f>IF($DW5,(IF($DV5,F$166,F$167)+IF(AND($B5&gt;=65,$B5&lt;=G$95),F$168,0)+IF(AND(C$5&gt;65,$C5&lt;=G$96),F$168,0)),(IF($DV5,G$166,G$167)+IF(AND($B5&gt;=65,$B5&lt;=G$95),G$168,0)+IF(AND($C5&gt;65,$C5&lt;=G$96),G$168,0)))</f>
        <v>8800</v>
      </c>
      <c r="BQ5" s="7">
        <f t="shared" ref="BQ5:BQ38" si="46">IF(DX5,FV(G$146,A5-G$125,0,-BP5), BP5)</f>
        <v>8800</v>
      </c>
      <c r="BR5" s="7">
        <f t="shared" ref="BR5:BR38" si="47">IF(DW5,IF(DV5,1,2)*$F$169,IF(DV5,1,2)*$G$169)</f>
        <v>0</v>
      </c>
      <c r="BS5" s="7">
        <f t="shared" ref="BS5:BS38" si="48">IF(DX5,FV(G$146,A5-G$125,0,-BR5), BR5)</f>
        <v>0</v>
      </c>
      <c r="BT5" s="7">
        <f t="shared" ref="BT5:BT38" si="49" xml:space="preserve"> MAX(0, BJ5+BK5+BL5+BM5+BN5+BO5-BQ5)</f>
        <v>8578.2618181733815</v>
      </c>
      <c r="BU5" s="157">
        <f t="shared" ref="BU5:BU38" si="50">IF(BJ5+BN5=0,0,(BJ5+BN5)/(BJ5+BK5+BL5+BM5+BN5+BO5))</f>
        <v>1</v>
      </c>
      <c r="BV5" s="51">
        <f t="shared" ref="BV5:BV38" si="51">IF(DW5,IF(DV5,D$221,F$221),IF(DV5,D$236,F$236))</f>
        <v>0</v>
      </c>
      <c r="BW5" s="51">
        <f t="shared" ref="BW5:BW38" si="52">IF(DW5,IF(DV5,D$222,F$222),IF(DV5,D$237,F$237))</f>
        <v>1000000</v>
      </c>
      <c r="BX5" s="51">
        <f t="shared" ref="BX5:BX38" si="53">IF(DW5,IF(DV5,D$223,F$223),IF(DV5,D$238,F$238))</f>
        <v>10000000000</v>
      </c>
      <c r="BY5" s="51">
        <f t="shared" ref="BY5:BY38" si="54">IF(DW5,IF(DV5,D$224,F$224),IF(DV5,D$239,F$239))</f>
        <v>10000000000</v>
      </c>
      <c r="BZ5" s="51">
        <f t="shared" ref="BZ5:BZ38" si="55">IF(DW5,IF(DV5,D$225,F$225),IF(DV5,D$240,F$240))</f>
        <v>10000000000</v>
      </c>
      <c r="CA5" s="51">
        <f t="shared" ref="CA5:CA38" si="56">IF(DW5,IF(DV5,D$226,F$226),IF(DV5,D$241,F$241))</f>
        <v>10000000000</v>
      </c>
      <c r="CB5" s="51">
        <f t="shared" ref="CB5:CB38" si="57">IF(DW5,IF(DV5,D$227,F$227),IF(DV5,D$242,F$242))</f>
        <v>10000000000</v>
      </c>
      <c r="CC5" s="51">
        <f t="shared" ref="CC5:CC38" si="58">IF(DW5,IF(DV5,D$228,F$228),IF(DV5,D$243,F$243))</f>
        <v>10000000000</v>
      </c>
      <c r="CD5" s="51">
        <f t="shared" ref="CD5:CD38" si="59">IF(DW5,IF(DV5,D$229,F$229),IF(DV5,D$244,F$244))</f>
        <v>10000000000</v>
      </c>
      <c r="CE5" s="51">
        <f t="shared" ref="CE5:CE38" si="60">IF(DW5,IF(DV5,D$230,F$230),IF(DV5,D$245,F$245))</f>
        <v>10000000000</v>
      </c>
      <c r="CF5" s="51">
        <f t="shared" ref="CF5:CF38" si="61">IF(DW5,IF(DV5,D$231,F$231),IF(DV5,D$246,F$246))</f>
        <v>10000000000</v>
      </c>
      <c r="CG5" s="51">
        <f t="shared" ref="CG5:CG38" si="62">IF(DW5,IF(DV5,D$232,F$232),IF(DV5,D$247,F$247))</f>
        <v>10000000000</v>
      </c>
      <c r="CH5" s="51">
        <f t="shared" ref="CH5:CH38" si="63">IF(DK5,FV(G$146,A5-G$125,0,-BV5),BV5)</f>
        <v>0</v>
      </c>
      <c r="CI5" s="51">
        <f t="shared" ref="CI5:CI38" si="64">IF(DK5,FV(G$146,A5-G$125,0,-BW5),BW5)</f>
        <v>1000000</v>
      </c>
      <c r="CJ5" s="51">
        <f t="shared" ref="CJ5:CJ38" si="65">IF(DK5,FV(G$146,A5-G$125,0,-BX5),BX5)</f>
        <v>10000000000</v>
      </c>
      <c r="CK5" s="51">
        <f t="shared" ref="CK5:CK38" si="66">IF(DK5,FV(G$146,A5-G$125,0,-BY5),BY5)</f>
        <v>10000000000</v>
      </c>
      <c r="CL5" s="51">
        <f t="shared" ref="CL5:CL38" si="67">IF(DK5,FV(G$146,A5-G$125,0,-BZ5),BZ5)</f>
        <v>10000000000</v>
      </c>
      <c r="CM5" s="51">
        <f t="shared" ref="CM5:CM38" si="68">IF(DK5,FV(G$146,A5-G$125,0,-CA5),CA5)</f>
        <v>10000000000</v>
      </c>
      <c r="CN5" s="51">
        <f t="shared" ref="CN5:CN38" si="69">IF(DK5,FV(G$146,A5-G$125,0,-CB5),CB5)</f>
        <v>10000000000</v>
      </c>
      <c r="CO5" s="51">
        <f t="shared" ref="CO5:CO38" si="70">IF(DK5,FV(G$146,A5-G$125,0,-CC5),CC5)</f>
        <v>10000000000</v>
      </c>
      <c r="CP5" s="51">
        <f t="shared" ref="CP5:CP38" si="71">IF(DK5,FV(G$146,A5-G$125,0,-CD5),CD5)</f>
        <v>10000000000</v>
      </c>
      <c r="CQ5" s="51">
        <f t="shared" ref="CQ5:CQ38" si="72">IF(DK5,FV(G$146,A5-G$125,0,-CE5),CE5)</f>
        <v>10000000000</v>
      </c>
      <c r="CR5" s="51">
        <f t="shared" ref="CR5:CR38" si="73">IF(DK5,FV(G$146,A5-G$125,0,-CF5),CF5)</f>
        <v>10000000000</v>
      </c>
      <c r="CS5" s="51">
        <f t="shared" ref="CS5:CS38" si="74">IF(DK5,FV(G$146,A5-G$125,0,-CG5),CG5)</f>
        <v>10000000000</v>
      </c>
      <c r="CT5" s="7">
        <f t="shared" ref="CT5:CT38" si="75">IF(DF5=0, 0, CI5*DE5)</f>
        <v>50000</v>
      </c>
      <c r="CU5" s="7">
        <f t="shared" ref="CU5:DD30" si="76">IF(DG5=0, 0, CT5 + CJ5*DF5)</f>
        <v>0</v>
      </c>
      <c r="CV5" s="7">
        <f t="shared" si="76"/>
        <v>0</v>
      </c>
      <c r="CW5" s="7">
        <f t="shared" si="76"/>
        <v>0</v>
      </c>
      <c r="CX5" s="7">
        <f t="shared" si="76"/>
        <v>0</v>
      </c>
      <c r="CY5" s="7">
        <f t="shared" si="76"/>
        <v>0</v>
      </c>
      <c r="CZ5" s="7">
        <f t="shared" si="76"/>
        <v>0</v>
      </c>
      <c r="DA5" s="7">
        <f t="shared" si="76"/>
        <v>0</v>
      </c>
      <c r="DB5" s="7">
        <f t="shared" si="76"/>
        <v>0</v>
      </c>
      <c r="DC5" s="7">
        <f t="shared" si="76"/>
        <v>0</v>
      </c>
      <c r="DD5" s="7">
        <f t="shared" si="76"/>
        <v>0</v>
      </c>
      <c r="DE5" s="37">
        <f t="shared" ref="DE5:DE38" si="77">IF(DW5, IF(DV5, E$221, G$221),IF(DV5,E$236,G$236))</f>
        <v>0.05</v>
      </c>
      <c r="DF5" s="37">
        <f t="shared" ref="DF5:DF38" si="78">IF(DW5, IF(DV5, E$222, G$222),IF(DV5,E$237,G$237))</f>
        <v>0.09</v>
      </c>
      <c r="DG5" s="7">
        <f t="shared" ref="DG5:DG38" si="79">IF(DW5, IF(DV5, E$223, G$223),IF(DV5,E$238,G$238))</f>
        <v>0</v>
      </c>
      <c r="DH5" s="7">
        <f t="shared" ref="DH5:DH38" si="80">IF(DW5, IF(DV5, E$224, G$224),IF(DV5,E$239,G$239))</f>
        <v>0</v>
      </c>
      <c r="DI5" s="7">
        <f t="shared" ref="DI5:DI38" si="81">IF(DW5, IF(DV5, E$225, G$225),IF(DV5,E$240,G$240))</f>
        <v>0</v>
      </c>
      <c r="DJ5" s="7">
        <f t="shared" ref="DJ5:DJ38" si="82">IF(DW5, IF(DV5, E$226, G$226),IF(DV5,E$241,G$241))</f>
        <v>0</v>
      </c>
      <c r="DK5" s="7">
        <f t="shared" ref="DK5:DK38" si="83">IF(DW5, IF(DV5, E$227, G$227),IF(DV5,E$242,G$242))</f>
        <v>0</v>
      </c>
      <c r="DL5" s="7">
        <f t="shared" ref="DL5:DL38" si="84">IF(DW5, IF(DV5, E$228, G$228),IF(DV5,E$243,G$243))</f>
        <v>0</v>
      </c>
      <c r="DM5" s="7">
        <f t="shared" ref="DM5:DM38" si="85">IF(DW5, IF(DV5, E$229, G$229),IF(DV5,E$244,G$244))</f>
        <v>0</v>
      </c>
      <c r="DN5" s="7">
        <f t="shared" ref="DN5:DN38" si="86">IF(DW5, IF(DV5, E$230, G$230),IF(DV5,E$245,G$245))</f>
        <v>0</v>
      </c>
      <c r="DO5" s="7">
        <f t="shared" ref="DO5:DO38" si="87">IF(DW5, IF(DV5, E$231, G$231),IF(DV5,E$246,G$246))</f>
        <v>0</v>
      </c>
      <c r="DP5" s="7">
        <f t="shared" ref="DP5:DP38" si="88">IF(DW5, IF(DV5, E$232, G$232),IF(DV5,E$247,G$247))</f>
        <v>0</v>
      </c>
      <c r="DQ5" s="7">
        <f t="shared" ref="DQ5:DQ38" si="89">IF(BT5&lt;CI5,BT5*DE5,IF(BT5&lt;CJ5, CT5+(BT5-CI5)*DF5,IF(BT5&lt;CK5, CU5+(BT5-CJ5)*DG5,IF(BT5&lt;CL5, CV5+(BT5-CK5)*DH5,IF(BT5&lt;CM5, CW5+(BT5-CL5)*DI5,IF(BT5&lt;CN5, CX5+(BT5-CM5)*DJ5,IF(BT5&lt;CO5, CY5+(BT5-CN5)*DK5,IF(BT5&lt;CP5, CZ5+(BT5-CO5)*DL5,IF(BT5&lt;CQ5, DA5+(BT5-CP5)*DM5,IF(BT5&lt;CR5, DB5+(BT5-CQ5)*DN5,IF(BT5&lt;CS5, DC5+(BT5-CR5)*DO5,DD5+(BT5-CS5)*DP5)))))))))))</f>
        <v>428.91309090866912</v>
      </c>
      <c r="DR5" s="37">
        <f t="shared" ref="DR5:DR38" si="90">IF(BT5&lt;=CI5,DE5,IF(BT5&lt;=CJ5,DF5,IF(BT5&lt;AA5,DG5,IF(BT5&lt;AB5,DH5,IF(BT5&lt;AC5,DI5,IF(BT5&lt;AD5,DJ5,IF(BT5&lt;AE5,DK5,IF(BT5&lt;AF5,DL5,IF(BT5&lt;AG5,DM5,IF(BT5&lt;AM5,DN5,IF(BT5&lt;AN5,DO5,DP5)))))))))))</f>
        <v>0.05</v>
      </c>
      <c r="DS5" s="7">
        <f t="shared" ref="DS5:DS38" si="91">BU5*DQ5</f>
        <v>428.91309090866912</v>
      </c>
      <c r="DT5" s="7" t="b">
        <f t="shared" ref="DT5:DT38" si="92">A5&lt;G$102</f>
        <v>1</v>
      </c>
      <c r="DU5" s="7" t="b">
        <f t="shared" ref="DU5:DU38" si="93">AND((A5&gt;=G$102),(G$152="Post-TCJA"))</f>
        <v>0</v>
      </c>
      <c r="DV5" s="7" t="b">
        <f t="shared" ref="DV5:DV38" si="94">IF(G$124="NONE", TRUE, OR(B5&gt;G$95,C5&gt;G$96))</f>
        <v>0</v>
      </c>
      <c r="DW5" s="7" t="b">
        <f t="shared" ref="DW5:DW38" si="95">A5&lt;=G$98</f>
        <v>1</v>
      </c>
      <c r="DX5" s="7" t="b">
        <f t="shared" ref="DX5:DX38" si="96">IF(DW5,F$176,G$176)</f>
        <v>0</v>
      </c>
      <c r="DY5" s="207">
        <f t="shared" ref="DY5:DY38" si="97">1/((1+G$92)^(A5-G$126))</f>
        <v>1</v>
      </c>
      <c r="DZ5" s="7">
        <f t="shared" ref="DZ5:DZ38" si="98">IF(DT5,IF(BI5&lt;=EC5,BI5*F$181,IF(BI5&lt;=ED5,EH5+(BI5-EC5)*F$182,IF(BI5&lt;=EE5,EI5+(BI5-ED5)*F$183,IF(BI5&lt;=EF5,EJ5+(BI5-EE5)*F$184,IF(BI5&lt;=EG5,EK5+(BI5-EF5)*F$185,EL5+(BI5-EG5)*F$186))))), IF(BI5&lt;=EC5,BI5*G$181,IF(BI5&lt;=ED5,EH5+(BI5-EC5)*G$182,IF(BI5&lt;=EE5,EI5+(BI5-ED5)*G$183,IF(BI5&lt;=EF5,EJ5+(BI5-EE5)*G$184,IF(BI5&lt;=EG5,EK5+(BI5-EF5)*G$185,EL5+(BI5-EG5)*G$186))))))</f>
        <v>0</v>
      </c>
      <c r="EA5" s="36">
        <f t="shared" ref="EA5:EA38" si="99">IF(DT5,IF(BI5&lt;=EC5,F$181,IF(BI5&lt;=ED5,F$182,IF(BI5&lt;EE5,F$183,IF(BI5&lt;EF5,F$184,IF(BI5&lt;EG5,F$185,F$186))))),IF(BI5&lt;EC5,G$181,IF(BI5&lt;ED5,G$182,IF(BI5&lt;EE5,G$183,IF(BI5&lt;EF5,G$184,IF(BI5&lt;EG5,G$185,G$186))))))</f>
        <v>0.1</v>
      </c>
      <c r="EB5" s="51">
        <f>DZ5+BA5+BB5+BC5</f>
        <v>2530.8817055963486</v>
      </c>
      <c r="EC5" s="7">
        <f t="shared" ref="EC5:EC38" si="100">IF(DV5,FV(G$146,A5-G$125,0,-D$181), FV(G$146,A5-G$125,0,-E$181))</f>
        <v>23200</v>
      </c>
      <c r="ED5" s="7">
        <f t="shared" ref="ED5:ED38" si="101">IF(DV5,FV(G$146,A5-G$125,0,-D$182), FV(G$146,A5-G$125,0,-E$182))</f>
        <v>94300</v>
      </c>
      <c r="EE5" s="7">
        <f t="shared" ref="EE5:EE38" si="102">IF(DV5,FV(G$146,A5-G$125,0,-D$183), FV(G$146,A5-G$125,0,-E$183))</f>
        <v>201050</v>
      </c>
      <c r="EF5" s="7">
        <f t="shared" ref="EF5:EF38" si="103">IF(DV5,FV(G$146,A5-G$125,0,-D$184), FV(G$146,A5-G$125,0,-E$184))</f>
        <v>383900</v>
      </c>
      <c r="EG5" s="7">
        <f t="shared" ref="EG5:EG38" si="104">IF(DV5,FV(G$146,A5-G$125,0,-D$185), FV(G$146,A5-G$125,0,-E$185))</f>
        <v>487450</v>
      </c>
      <c r="EH5" s="7">
        <f t="shared" ref="EH5:EH38" si="105">IF(DT5,EC5*F$181,EC5*G$181)</f>
        <v>2320</v>
      </c>
      <c r="EI5" s="7">
        <f t="shared" ref="EI5:EI38" si="106">EH5+ IF(DT5,(ED5-EC5)*F$182,(ED5-EC5)*G$182)</f>
        <v>10852</v>
      </c>
      <c r="EJ5" s="7">
        <f t="shared" ref="EJ5:EJ38" si="107">EI5+ IF(DT5,(EE5-ED5)*F$183,(EE5-ED5)*G$183)</f>
        <v>34337</v>
      </c>
      <c r="EK5" s="7">
        <f t="shared" ref="EK5:EK38" si="108">EJ5+ IF(DT5,(EF5-EE5)*F$184, (EF5-EE5)*G$184)</f>
        <v>78221</v>
      </c>
      <c r="EL5" s="7">
        <f t="shared" ref="EL5:EL38" si="109">EK5+ IF(DT5,(EG5-EF5)*F$185,(EG5-EF5)*G$185)</f>
        <v>111357</v>
      </c>
      <c r="EM5" s="7">
        <f t="shared" ref="EM5:EM38" si="110">IF(DV5, FV(G$146,A5-G$125,0,-D$200),FV(G$146,A5-G$125,0,-E$200))</f>
        <v>206000</v>
      </c>
      <c r="EN5" s="7">
        <f t="shared" ref="EN5:EN38" si="111">IF(DV5, FV(G$146,A5-G$125,0,-D$201), FV(G$146,A5-G$125,0,-E$201))</f>
        <v>258000</v>
      </c>
      <c r="EO5" s="7">
        <f t="shared" ref="EO5:EO38" si="112">IF(DV5, FV(G$146,A5-G$125,0,-D$202),FV(G$146,A5-G$125,0,-E$202))</f>
        <v>322000</v>
      </c>
      <c r="EP5" s="7">
        <f t="shared" ref="EP5:EP38" si="113">IF(DV5, FV(G$146,A5-G$125,0,-D$203), FV(G$146,A5-G$125,0,-E$203))</f>
        <v>386000</v>
      </c>
      <c r="EQ5" s="7">
        <f t="shared" ref="EQ5:EQ38" si="114">IF(DV5, FV(G$146,A5-G$125,0,-D$204), FV(G$146,A5-G$125,0,-E$204))</f>
        <v>750000</v>
      </c>
      <c r="ER5" s="7">
        <f t="shared" ref="ER5:ER38" si="115">12*IF(AND(B5&lt;=G$95, B5&gt;=65),1,0)*FV(G$146,A5-G$125,0,-G$109) + 12*IF(AND(C5&lt;=G$96, C5&gt;=65),1,0)*FV(G$146,A5-G$125,0,-G$109)</f>
        <v>0</v>
      </c>
      <c r="ES5" s="10">
        <f t="shared" ref="ES5:ES38" si="116">IF(AW5&lt;=EM5,F$200,IF(AW5&lt;=EN5,F$201,IF(AW5&lt;=EO5,F$202,IF(AW5&lt;=EP5,F$203,IF(AW5&lt;EQ5,F$204, F$205)))))</f>
        <v>1</v>
      </c>
      <c r="ET5" s="16">
        <f t="shared" ref="ET5:ET38" si="117">IF(A5&gt;G$125+1,ES3,IF(A5=G$125,G$135,G$136))</f>
        <v>1</v>
      </c>
      <c r="EU5" s="16">
        <f t="shared" ref="EU5:EU38" si="118">12 * (IF(AND(B5&lt;=G$95, B5&gt;=65),1,0)+ IF(AND(C5&lt;=G$96, C5&gt;=65),1,0))</f>
        <v>0</v>
      </c>
      <c r="EV5" s="7">
        <f t="shared" ref="EV5:EV38" si="119">EU5 *_xlfn.XLOOKUP(ET5,F$200:F$205, G$200:G$205)  + ER5*(ET5-1)</f>
        <v>0</v>
      </c>
      <c r="EW5" s="37">
        <f>(O5+P5+S5)/(AC4+AD4+AE4)</f>
        <v>7.3041319064829691E-2</v>
      </c>
      <c r="EX5" s="7">
        <f t="shared" ref="EX5:EX38" si="120">DQ5+EB5+EV5</f>
        <v>2959.794796505018</v>
      </c>
      <c r="EY5" s="7">
        <f>EX5 * DY5</f>
        <v>2959.794796505018</v>
      </c>
      <c r="EZ5" s="37">
        <f t="shared" ref="EZ5:EZ38" si="121">EA5 + DR5</f>
        <v>0.15000000000000002</v>
      </c>
      <c r="FA5" s="37">
        <f t="shared" ref="FA5:FA38" si="122">EX5/AW5</f>
        <v>0.1090800156768677</v>
      </c>
      <c r="FB5" s="7">
        <f t="shared" ref="FB5:FB38" si="123">N5+O5+P5+S5-EX5-AB5</f>
        <v>55003.375786282581</v>
      </c>
      <c r="FC5" s="7">
        <f>FB5 * DY5</f>
        <v>55003.375786282581</v>
      </c>
      <c r="FD5" s="7">
        <f>((AW5-AT5)/AW5) * EY5</f>
        <v>2959.794796505018</v>
      </c>
      <c r="FE5" s="7">
        <f t="shared" ref="FE5:FE38" si="124">IF(DV5,$G$79,1) * $G$75</f>
        <v>55000</v>
      </c>
      <c r="FF5" s="7">
        <f>J5 * DY5</f>
        <v>9755.9000000000015</v>
      </c>
      <c r="FG5" s="7">
        <f>L5 * DY5</f>
        <v>0</v>
      </c>
      <c r="FH5" s="7">
        <f>M5 * DY5</f>
        <v>0</v>
      </c>
      <c r="FI5" s="7">
        <f t="shared" ref="FI5:FI38" si="125">((T5/AW5)*DZ5+BA5+BQ5*BU5)</f>
        <v>8800</v>
      </c>
      <c r="FJ5" s="7">
        <f>O5 * DY5</f>
        <v>0</v>
      </c>
      <c r="FK5" s="7">
        <f>P5 * DY5</f>
        <v>0</v>
      </c>
      <c r="FL5" s="7">
        <f>S5 * DY5</f>
        <v>48207.270582787598</v>
      </c>
      <c r="FM5" s="7">
        <f>BA5 * DY5</f>
        <v>0</v>
      </c>
      <c r="FN5" s="7">
        <f>BB5 * DY5</f>
        <v>0</v>
      </c>
      <c r="FO5" s="7">
        <f>BC5 * DY5</f>
        <v>2530.8817055963486</v>
      </c>
      <c r="FP5" s="7">
        <f>DZ5 * DY5</f>
        <v>0</v>
      </c>
      <c r="FQ5" s="7">
        <f>DQ5 * DY5</f>
        <v>428.91309090866912</v>
      </c>
      <c r="FR5" s="7">
        <f>EV5 * DY5</f>
        <v>0</v>
      </c>
      <c r="FS5" s="7">
        <f>AU5*DY5</f>
        <v>0</v>
      </c>
      <c r="FT5" s="7">
        <f>T5*DY5</f>
        <v>505.71711419772424</v>
      </c>
      <c r="FU5" s="7">
        <f>AA5*DY5</f>
        <v>16872.544703975658</v>
      </c>
      <c r="FV5" s="7">
        <f>AT5*DY5</f>
        <v>0</v>
      </c>
      <c r="FW5" s="7">
        <f>BJ5*DY5</f>
        <v>505.71711419772424</v>
      </c>
      <c r="FX5" s="7">
        <f>BK5*DY5</f>
        <v>0</v>
      </c>
      <c r="FY5" s="7">
        <f>BL5*DY5</f>
        <v>0</v>
      </c>
      <c r="FZ5" s="7">
        <f>BN5*DY5</f>
        <v>16872.544703975658</v>
      </c>
      <c r="GA5" s="7">
        <f>BO5*DY5</f>
        <v>0</v>
      </c>
      <c r="GB5" s="7">
        <f>BM5*DY5</f>
        <v>0</v>
      </c>
      <c r="GC5" s="7">
        <f t="shared" ref="GC5:GC38" si="126">FI5 * DY5</f>
        <v>8800</v>
      </c>
      <c r="GD5" s="7">
        <f t="shared" ref="GD5:GD38" si="127">GD4+FC5</f>
        <v>55003.375786282581</v>
      </c>
      <c r="GE5" s="7">
        <f t="shared" ref="GE5:GE38" si="128">AM5 + GD5</f>
        <v>610748.43619193183</v>
      </c>
      <c r="GF5" s="7">
        <f t="shared" ref="GF5:GF38" si="129">GF4+EY5</f>
        <v>2959.794796505018</v>
      </c>
      <c r="GG5" s="7">
        <f t="shared" ref="GG5:GG38" si="130">GG4+FF5</f>
        <v>9755.9000000000015</v>
      </c>
      <c r="GH5" s="7">
        <f t="shared" ref="GH5:GH38" si="131">IF(G$103 &lt;0, GE5-GJ5,0)</f>
        <v>0</v>
      </c>
      <c r="GI5" s="7">
        <f t="shared" ref="GI5:GI38" si="132">IF(G$104 &lt;0, GG5-GK5,0)</f>
        <v>0</v>
      </c>
      <c r="GJ5" s="7">
        <v>630284.94390892913</v>
      </c>
      <c r="GK5" s="7">
        <v>24525.233333333334</v>
      </c>
    </row>
    <row r="6" spans="1:193" x14ac:dyDescent="0.55000000000000004">
      <c r="A6" s="60">
        <f t="shared" si="0"/>
        <v>2026</v>
      </c>
      <c r="B6" s="60">
        <f t="shared" si="1"/>
        <v>63</v>
      </c>
      <c r="C6" s="60">
        <f t="shared" si="2"/>
        <v>63</v>
      </c>
      <c r="D6" s="7">
        <f t="shared" si="3"/>
        <v>0</v>
      </c>
      <c r="E6" s="7">
        <f t="shared" si="4"/>
        <v>0</v>
      </c>
      <c r="F6" s="7">
        <f t="shared" si="5"/>
        <v>0</v>
      </c>
      <c r="G6" s="7">
        <f t="shared" si="6"/>
        <v>0</v>
      </c>
      <c r="H6" s="7">
        <f t="shared" si="7"/>
        <v>0</v>
      </c>
      <c r="I6" s="7">
        <f t="shared" si="8"/>
        <v>10834.370400000002</v>
      </c>
      <c r="J6" s="7">
        <f t="shared" si="9"/>
        <v>10834.370400000002</v>
      </c>
      <c r="K6" s="7">
        <f t="shared" si="10"/>
        <v>0</v>
      </c>
      <c r="L6" s="7">
        <f t="shared" si="11"/>
        <v>0</v>
      </c>
      <c r="M6" s="7">
        <f t="shared" si="12"/>
        <v>0</v>
      </c>
      <c r="N6" s="7">
        <f t="shared" si="13"/>
        <v>10834.370400000002</v>
      </c>
      <c r="O6" s="7">
        <f t="shared" si="14"/>
        <v>35268.821989458636</v>
      </c>
      <c r="P6" s="7">
        <v>0</v>
      </c>
      <c r="Q6" s="29">
        <v>21161.293193675181</v>
      </c>
      <c r="R6" s="29">
        <v>14107.528795783453</v>
      </c>
      <c r="S6" s="7">
        <v>13790.544850108045</v>
      </c>
      <c r="T6" s="7">
        <f t="shared" si="15"/>
        <v>42.612355313684347</v>
      </c>
      <c r="U6" s="7">
        <f t="shared" si="16"/>
        <v>0</v>
      </c>
      <c r="V6" s="7">
        <f t="shared" si="17"/>
        <v>0</v>
      </c>
      <c r="W6" s="7"/>
      <c r="X6" s="7"/>
      <c r="Y6" s="7">
        <f t="shared" si="18"/>
        <v>0</v>
      </c>
      <c r="Z6" s="7">
        <f t="shared" si="18"/>
        <v>0</v>
      </c>
      <c r="AA6" s="7">
        <f t="shared" si="19"/>
        <v>4826.6906975378151</v>
      </c>
      <c r="AB6" s="7"/>
      <c r="AC6" s="7">
        <f t="shared" si="20"/>
        <v>1217.4958661052669</v>
      </c>
      <c r="AD6" s="7">
        <f t="shared" si="21"/>
        <v>0</v>
      </c>
      <c r="AE6" s="7">
        <f t="shared" si="22"/>
        <v>655511.83159693144</v>
      </c>
      <c r="AF6" s="9">
        <f t="shared" si="23"/>
        <v>393307.09895815881</v>
      </c>
      <c r="AG6" s="56">
        <f t="shared" si="24"/>
        <v>262204.73263877264</v>
      </c>
      <c r="AH6" s="165">
        <f t="shared" si="25"/>
        <v>0.84</v>
      </c>
      <c r="AI6" s="56">
        <f t="shared" ref="AI6:AI38" si="133">AC6+AD6+AE6</f>
        <v>656729.32746303675</v>
      </c>
      <c r="AJ6" s="56">
        <f t="shared" si="26"/>
        <v>1193.6233981424184</v>
      </c>
      <c r="AK6" s="56">
        <f t="shared" si="27"/>
        <v>0</v>
      </c>
      <c r="AL6" s="56">
        <f>(AE6*AH6)  * DY6</f>
        <v>539833.2730798258</v>
      </c>
      <c r="AM6" s="9">
        <f>AJ6+AK6+AL6</f>
        <v>541026.8964779682</v>
      </c>
      <c r="AN6" s="9">
        <f t="shared" si="28"/>
        <v>0</v>
      </c>
      <c r="AO6" s="9">
        <f t="shared" si="29"/>
        <v>0</v>
      </c>
      <c r="AP6" s="9">
        <f t="shared" si="30"/>
        <v>0</v>
      </c>
      <c r="AQ6" s="9">
        <f t="shared" ref="AQ6:AQ38" si="134">AV6 + J6/2</f>
        <v>45555.310242310137</v>
      </c>
      <c r="AR6" s="9">
        <f t="shared" si="31"/>
        <v>32000</v>
      </c>
      <c r="AS6" s="9">
        <f t="shared" si="32"/>
        <v>44000</v>
      </c>
      <c r="AT6" s="9">
        <f t="shared" si="33"/>
        <v>35268.821989458636</v>
      </c>
      <c r="AU6" s="9">
        <f t="shared" ref="AU6:AU38" si="135">IF(AQ6&lt;AR6,0,MIN(0.85*J6,MIN(AS6-AR6,AQ6-AR6)*0.5*J6+IF(AQ6&gt;AS6,0.85*(AQ6-AS6),0)*J6))</f>
        <v>9209.2148400000005</v>
      </c>
      <c r="AV6" s="9">
        <f t="shared" ref="AV6:AV38" si="136">MAX(0,K6+L6+M6+O6+U6+V6+T6+AA6)</f>
        <v>40138.125042310137</v>
      </c>
      <c r="AW6" s="7">
        <f t="shared" ref="AW6:AW38" si="137" xml:space="preserve"> K6+J6+O6 +T6 + U6 + V6 + AA6</f>
        <v>50972.495442310137</v>
      </c>
      <c r="AX6" s="7">
        <f t="shared" ref="AX6:AX38" si="138" xml:space="preserve"> K6+AU6+O6 +T6 + U6 + V6 + AA6</f>
        <v>49347.339882310138</v>
      </c>
      <c r="AY6" s="7">
        <f t="shared" si="34"/>
        <v>4869.3030528514992</v>
      </c>
      <c r="AZ6" s="7">
        <f t="shared" ref="AZ6:AZ38" si="139">MAX(0,MIN(AX6-IF(DV6,125000,250000),AY6))</f>
        <v>0</v>
      </c>
      <c r="BA6" s="7">
        <f t="shared" si="35"/>
        <v>0</v>
      </c>
      <c r="BB6" s="7">
        <f t="shared" si="36"/>
        <v>0</v>
      </c>
      <c r="BC6" s="7">
        <f t="shared" si="37"/>
        <v>724.00360463067227</v>
      </c>
      <c r="BD6" s="7">
        <f t="shared" si="38"/>
        <v>29725.600000000002</v>
      </c>
      <c r="BE6" s="7">
        <f t="shared" si="39"/>
        <v>22734.124988146032</v>
      </c>
      <c r="BF6" s="7">
        <f t="shared" ref="BF6:BF38" si="140">IF(DU6,BD6,BE6)</f>
        <v>22734.124988146032</v>
      </c>
      <c r="BG6" s="7">
        <f>MAX(0,K6+ AU6+O6+T6 + U6 + V6 - BD6)</f>
        <v>14795.049184772321</v>
      </c>
      <c r="BH6" s="7">
        <f>MAX(0,K6+AU6+O6+T6+U6+V6-BE6)</f>
        <v>21786.524196626291</v>
      </c>
      <c r="BI6" s="7">
        <f t="shared" ref="BI6:BI38" si="141">IF(DU6,BH6,BG6)</f>
        <v>14795.049184772321</v>
      </c>
      <c r="BJ6" s="7">
        <f t="shared" si="40"/>
        <v>42.612355313684347</v>
      </c>
      <c r="BK6" s="7">
        <f t="shared" si="41"/>
        <v>0</v>
      </c>
      <c r="BL6" s="7">
        <f t="shared" si="42"/>
        <v>0</v>
      </c>
      <c r="BM6" s="7">
        <f t="shared" si="43"/>
        <v>35268.821989458636</v>
      </c>
      <c r="BN6" s="7">
        <f t="shared" si="44"/>
        <v>4826.6906975378151</v>
      </c>
      <c r="BO6" s="7">
        <f t="shared" si="45"/>
        <v>0</v>
      </c>
      <c r="BP6" s="7">
        <f t="shared" ref="BP6:BP38" si="142">IF(DW6,(IF(DV6,F$166,F$167)+IF(AND(B6&gt;=65,B6&lt;=G$95),F$168,0)+IF(AND(C6&gt;65,C6&lt;=G$96),F$168,0)),(IF(DV6,G$166,G$167)+IF(AND(B6&gt;=65,B6&lt;=G$95),G$168,0)+IF(AND(C6&gt;65,C6&lt;=G$96),G$168,0)))</f>
        <v>8800</v>
      </c>
      <c r="BQ6" s="7">
        <f t="shared" si="46"/>
        <v>8800</v>
      </c>
      <c r="BR6" s="7">
        <f t="shared" si="47"/>
        <v>0</v>
      </c>
      <c r="BS6" s="7">
        <f t="shared" si="48"/>
        <v>0</v>
      </c>
      <c r="BT6" s="7">
        <f t="shared" si="49"/>
        <v>31338.125042310137</v>
      </c>
      <c r="BU6" s="157">
        <f t="shared" si="50"/>
        <v>0.12131366494370879</v>
      </c>
      <c r="BV6" s="51">
        <f t="shared" si="51"/>
        <v>0</v>
      </c>
      <c r="BW6" s="51">
        <f t="shared" si="52"/>
        <v>1000000</v>
      </c>
      <c r="BX6" s="51">
        <f t="shared" si="53"/>
        <v>10000000000</v>
      </c>
      <c r="BY6" s="51">
        <f t="shared" si="54"/>
        <v>10000000000</v>
      </c>
      <c r="BZ6" s="51">
        <f t="shared" si="55"/>
        <v>10000000000</v>
      </c>
      <c r="CA6" s="51">
        <f t="shared" si="56"/>
        <v>10000000000</v>
      </c>
      <c r="CB6" s="51">
        <f t="shared" si="57"/>
        <v>10000000000</v>
      </c>
      <c r="CC6" s="51">
        <f t="shared" si="58"/>
        <v>10000000000</v>
      </c>
      <c r="CD6" s="51">
        <f t="shared" si="59"/>
        <v>10000000000</v>
      </c>
      <c r="CE6" s="51">
        <f t="shared" si="60"/>
        <v>10000000000</v>
      </c>
      <c r="CF6" s="51">
        <f t="shared" si="61"/>
        <v>10000000000</v>
      </c>
      <c r="CG6" s="51">
        <f t="shared" si="62"/>
        <v>10000000000</v>
      </c>
      <c r="CH6" s="51">
        <f t="shared" si="63"/>
        <v>0</v>
      </c>
      <c r="CI6" s="51">
        <f t="shared" si="64"/>
        <v>1000000</v>
      </c>
      <c r="CJ6" s="51">
        <f t="shared" si="65"/>
        <v>10000000000</v>
      </c>
      <c r="CK6" s="51">
        <f t="shared" si="66"/>
        <v>10000000000</v>
      </c>
      <c r="CL6" s="51">
        <f t="shared" si="67"/>
        <v>10000000000</v>
      </c>
      <c r="CM6" s="51">
        <f t="shared" si="68"/>
        <v>10000000000</v>
      </c>
      <c r="CN6" s="51">
        <f t="shared" si="69"/>
        <v>10000000000</v>
      </c>
      <c r="CO6" s="51">
        <f t="shared" si="70"/>
        <v>10000000000</v>
      </c>
      <c r="CP6" s="51">
        <f t="shared" si="71"/>
        <v>10000000000</v>
      </c>
      <c r="CQ6" s="51">
        <f t="shared" si="72"/>
        <v>10000000000</v>
      </c>
      <c r="CR6" s="51">
        <f t="shared" si="73"/>
        <v>10000000000</v>
      </c>
      <c r="CS6" s="51">
        <f t="shared" si="74"/>
        <v>10000000000</v>
      </c>
      <c r="CT6" s="7">
        <f t="shared" si="75"/>
        <v>50000</v>
      </c>
      <c r="CU6" s="7">
        <f t="shared" si="76"/>
        <v>0</v>
      </c>
      <c r="CV6" s="7">
        <f t="shared" si="76"/>
        <v>0</v>
      </c>
      <c r="CW6" s="7">
        <f t="shared" si="76"/>
        <v>0</v>
      </c>
      <c r="CX6" s="7">
        <f t="shared" si="76"/>
        <v>0</v>
      </c>
      <c r="CY6" s="7">
        <f t="shared" si="76"/>
        <v>0</v>
      </c>
      <c r="CZ6" s="7">
        <f t="shared" si="76"/>
        <v>0</v>
      </c>
      <c r="DA6" s="7">
        <f t="shared" si="76"/>
        <v>0</v>
      </c>
      <c r="DB6" s="7">
        <f t="shared" si="76"/>
        <v>0</v>
      </c>
      <c r="DC6" s="7">
        <f t="shared" si="76"/>
        <v>0</v>
      </c>
      <c r="DD6" s="7">
        <f t="shared" si="76"/>
        <v>0</v>
      </c>
      <c r="DE6" s="37">
        <f t="shared" si="77"/>
        <v>0.05</v>
      </c>
      <c r="DF6" s="37">
        <f t="shared" si="78"/>
        <v>0.09</v>
      </c>
      <c r="DG6" s="7">
        <f t="shared" si="79"/>
        <v>0</v>
      </c>
      <c r="DH6" s="7">
        <f t="shared" si="80"/>
        <v>0</v>
      </c>
      <c r="DI6" s="7">
        <f t="shared" si="81"/>
        <v>0</v>
      </c>
      <c r="DJ6" s="7">
        <f t="shared" si="82"/>
        <v>0</v>
      </c>
      <c r="DK6" s="7">
        <f t="shared" si="83"/>
        <v>0</v>
      </c>
      <c r="DL6" s="7">
        <f t="shared" si="84"/>
        <v>0</v>
      </c>
      <c r="DM6" s="7">
        <f t="shared" si="85"/>
        <v>0</v>
      </c>
      <c r="DN6" s="7">
        <f t="shared" si="86"/>
        <v>0</v>
      </c>
      <c r="DO6" s="7">
        <f t="shared" si="87"/>
        <v>0</v>
      </c>
      <c r="DP6" s="7">
        <f t="shared" si="88"/>
        <v>0</v>
      </c>
      <c r="DQ6" s="7">
        <f t="shared" si="89"/>
        <v>1566.906252115507</v>
      </c>
      <c r="DR6" s="37">
        <f t="shared" si="90"/>
        <v>0.05</v>
      </c>
      <c r="DS6" s="7">
        <f t="shared" si="91"/>
        <v>190.08714006734311</v>
      </c>
      <c r="DT6" s="7" t="b">
        <f t="shared" si="92"/>
        <v>1</v>
      </c>
      <c r="DU6" s="7" t="b">
        <f t="shared" si="93"/>
        <v>0</v>
      </c>
      <c r="DV6" s="7" t="b">
        <f t="shared" si="94"/>
        <v>0</v>
      </c>
      <c r="DW6" s="7" t="b">
        <f t="shared" si="95"/>
        <v>1</v>
      </c>
      <c r="DX6" s="7" t="b">
        <f t="shared" si="96"/>
        <v>0</v>
      </c>
      <c r="DY6" s="207">
        <f t="shared" si="97"/>
        <v>0.98039215686274506</v>
      </c>
      <c r="DZ6" s="7">
        <f t="shared" si="98"/>
        <v>1479.5049184772322</v>
      </c>
      <c r="EA6" s="36">
        <f t="shared" si="99"/>
        <v>0.1</v>
      </c>
      <c r="EB6" s="51">
        <f>DZ6+BA6+BB6+BC6</f>
        <v>2203.5085231079047</v>
      </c>
      <c r="EC6" s="7">
        <f t="shared" si="100"/>
        <v>23617.600000000002</v>
      </c>
      <c r="ED6" s="7">
        <f t="shared" si="101"/>
        <v>95997.400000000009</v>
      </c>
      <c r="EE6" s="7">
        <f t="shared" si="102"/>
        <v>204668.9</v>
      </c>
      <c r="EF6" s="7">
        <f t="shared" si="103"/>
        <v>390810.2</v>
      </c>
      <c r="EG6" s="7">
        <f t="shared" si="104"/>
        <v>496224.10000000003</v>
      </c>
      <c r="EH6" s="7">
        <f t="shared" si="105"/>
        <v>2361.7600000000002</v>
      </c>
      <c r="EI6" s="7">
        <f t="shared" si="106"/>
        <v>11047.336000000001</v>
      </c>
      <c r="EJ6" s="7">
        <f t="shared" si="107"/>
        <v>34955.065999999999</v>
      </c>
      <c r="EK6" s="7">
        <f t="shared" si="108"/>
        <v>79628.978000000003</v>
      </c>
      <c r="EL6" s="7">
        <f t="shared" si="109"/>
        <v>113361.42600000001</v>
      </c>
      <c r="EM6" s="7">
        <f t="shared" si="110"/>
        <v>209708</v>
      </c>
      <c r="EN6" s="7">
        <f t="shared" si="111"/>
        <v>262644</v>
      </c>
      <c r="EO6" s="7">
        <f t="shared" si="112"/>
        <v>327796</v>
      </c>
      <c r="EP6" s="7">
        <f t="shared" si="113"/>
        <v>392948</v>
      </c>
      <c r="EQ6" s="7">
        <f t="shared" si="114"/>
        <v>763500</v>
      </c>
      <c r="ER6" s="7">
        <f t="shared" si="115"/>
        <v>0</v>
      </c>
      <c r="ES6" s="10">
        <f t="shared" si="116"/>
        <v>1</v>
      </c>
      <c r="ET6" s="16">
        <f t="shared" si="117"/>
        <v>1</v>
      </c>
      <c r="EU6" s="16">
        <f t="shared" si="118"/>
        <v>0</v>
      </c>
      <c r="EV6" s="7">
        <f t="shared" si="119"/>
        <v>0</v>
      </c>
      <c r="EW6" s="37">
        <f t="shared" ref="EW6:EW38" si="143">(O6+P6+S6)/(AC5+AD5+AE5)</f>
        <v>7.4462224791458517E-2</v>
      </c>
      <c r="EX6" s="7">
        <f t="shared" si="120"/>
        <v>3770.4147752234117</v>
      </c>
      <c r="EY6" s="7">
        <f>EX6 * DY6</f>
        <v>3696.4850737484426</v>
      </c>
      <c r="EZ6" s="37">
        <f t="shared" si="121"/>
        <v>0.15000000000000002</v>
      </c>
      <c r="FA6" s="37">
        <f t="shared" si="122"/>
        <v>7.3969593650573914E-2</v>
      </c>
      <c r="FB6" s="7">
        <f t="shared" si="123"/>
        <v>56123.32246434327</v>
      </c>
      <c r="FC6" s="7">
        <f>FB6 * DY6</f>
        <v>55022.865161120848</v>
      </c>
      <c r="FD6" s="7">
        <f t="shared" ref="FD6:FD38" si="144">((AW6-AT6)/AW6) * EY6</f>
        <v>1138.8179844399317</v>
      </c>
      <c r="FE6" s="7">
        <f t="shared" si="124"/>
        <v>55000</v>
      </c>
      <c r="FF6" s="7">
        <f t="shared" ref="FF6:FF38" si="145">J6 * DY6</f>
        <v>10621.931764705883</v>
      </c>
      <c r="FG6" s="7">
        <f t="shared" ref="FG6:FG38" si="146">L6 * DY6</f>
        <v>0</v>
      </c>
      <c r="FH6" s="7">
        <f t="shared" ref="FH6:FH38" si="147">M6 * DY6</f>
        <v>0</v>
      </c>
      <c r="FI6" s="7">
        <f t="shared" si="125"/>
        <v>1068.7970987244453</v>
      </c>
      <c r="FJ6" s="7">
        <f t="shared" ref="FJ6:FJ38" si="148">O6 * DY6</f>
        <v>34577.276460253561</v>
      </c>
      <c r="FK6" s="7">
        <f t="shared" ref="FK6:FK38" si="149">P6 * DY6</f>
        <v>0</v>
      </c>
      <c r="FL6" s="7">
        <f t="shared" ref="FL6:FL38" si="150">S6 * DY6</f>
        <v>13520.142009909847</v>
      </c>
      <c r="FM6" s="7">
        <f t="shared" ref="FM6:FM38" si="151">BA6 * DY6</f>
        <v>0</v>
      </c>
      <c r="FN6" s="7">
        <f t="shared" ref="FN6:FN38" si="152">BB6 * DY6</f>
        <v>0</v>
      </c>
      <c r="FO6" s="7">
        <f t="shared" ref="FO6:FO38" si="153">BC6 * DY6</f>
        <v>709.8074555202669</v>
      </c>
      <c r="FP6" s="7">
        <f t="shared" ref="FP6:FP38" si="154">DZ6 * DY6</f>
        <v>1450.4950181149334</v>
      </c>
      <c r="FQ6" s="7">
        <f t="shared" ref="FQ6:FQ38" si="155">DQ6 * DY6</f>
        <v>1536.182600113242</v>
      </c>
      <c r="FR6" s="7">
        <f t="shared" ref="FR6:FR38" si="156">EV6 * DY6</f>
        <v>0</v>
      </c>
      <c r="FS6" s="7">
        <f t="shared" ref="FS6:FS38" si="157">AU6*DY6</f>
        <v>9028.6419999999998</v>
      </c>
      <c r="FT6" s="7">
        <f t="shared" ref="FT6:FT38" si="158">T6*DY6</f>
        <v>41.776818934984654</v>
      </c>
      <c r="FU6" s="7">
        <f t="shared" ref="FU6:FU38" si="159">AA6*DY6</f>
        <v>4732.0497034684458</v>
      </c>
      <c r="FV6" s="7">
        <f t="shared" ref="FV6:FV38" si="160">AT6*DY6</f>
        <v>34577.276460253561</v>
      </c>
      <c r="FW6" s="7">
        <f t="shared" ref="FW6:FW38" si="161">BJ6*DY6</f>
        <v>41.776818934984654</v>
      </c>
      <c r="FX6" s="7">
        <f t="shared" ref="FX6:FX38" si="162">BK6*DY6</f>
        <v>0</v>
      </c>
      <c r="FY6" s="7">
        <f t="shared" ref="FY6:FY38" si="163">BL6*DY6</f>
        <v>0</v>
      </c>
      <c r="FZ6" s="7">
        <f t="shared" ref="FZ6:FZ38" si="164">BN6*DY6</f>
        <v>4732.0497034684458</v>
      </c>
      <c r="GA6" s="7">
        <f t="shared" ref="GA6:GA38" si="165">BO6*DY6</f>
        <v>0</v>
      </c>
      <c r="GB6" s="7">
        <f t="shared" ref="GB6:GB38" si="166">BM6*DY6</f>
        <v>34577.276460253561</v>
      </c>
      <c r="GC6" s="7">
        <f t="shared" si="126"/>
        <v>1047.8402928671032</v>
      </c>
      <c r="GD6" s="7">
        <f t="shared" si="127"/>
        <v>110026.24094740342</v>
      </c>
      <c r="GE6" s="7">
        <f t="shared" si="128"/>
        <v>651053.13742537168</v>
      </c>
      <c r="GF6" s="7">
        <f t="shared" si="129"/>
        <v>6656.2798702534601</v>
      </c>
      <c r="GG6" s="7">
        <f t="shared" si="130"/>
        <v>20377.831764705887</v>
      </c>
      <c r="GH6" s="7">
        <f t="shared" si="131"/>
        <v>0</v>
      </c>
      <c r="GI6" s="7">
        <f t="shared" si="132"/>
        <v>0</v>
      </c>
      <c r="GJ6" s="7">
        <v>681477.40398284572</v>
      </c>
      <c r="GK6" s="7">
        <v>51280.03333333334</v>
      </c>
    </row>
    <row r="7" spans="1:193" ht="15" customHeight="1" x14ac:dyDescent="0.55000000000000004">
      <c r="A7" s="60">
        <f t="shared" si="0"/>
        <v>2027</v>
      </c>
      <c r="B7" s="60">
        <f t="shared" si="1"/>
        <v>64</v>
      </c>
      <c r="C7" s="60">
        <f t="shared" si="2"/>
        <v>64</v>
      </c>
      <c r="D7" s="7">
        <f t="shared" si="3"/>
        <v>0</v>
      </c>
      <c r="E7" s="7">
        <f t="shared" si="4"/>
        <v>0</v>
      </c>
      <c r="F7" s="7">
        <f t="shared" si="5"/>
        <v>0</v>
      </c>
      <c r="G7" s="7">
        <f t="shared" si="6"/>
        <v>0</v>
      </c>
      <c r="H7" s="7">
        <f t="shared" si="7"/>
        <v>0</v>
      </c>
      <c r="I7" s="7">
        <f t="shared" si="8"/>
        <v>11029.389067200002</v>
      </c>
      <c r="J7" s="7">
        <f t="shared" si="9"/>
        <v>11029.389067200002</v>
      </c>
      <c r="K7" s="7">
        <f t="shared" si="10"/>
        <v>0</v>
      </c>
      <c r="L7" s="7">
        <f t="shared" si="11"/>
        <v>0</v>
      </c>
      <c r="M7" s="7">
        <f t="shared" si="12"/>
        <v>0</v>
      </c>
      <c r="N7" s="7">
        <f t="shared" si="13"/>
        <v>11029.389067200002</v>
      </c>
      <c r="O7" s="7">
        <f t="shared" si="14"/>
        <v>50208.802419110449</v>
      </c>
      <c r="P7" s="7">
        <v>0</v>
      </c>
      <c r="Q7" s="29">
        <v>30125.281451466264</v>
      </c>
      <c r="R7" s="29">
        <v>20083.520967644185</v>
      </c>
      <c r="S7" s="7">
        <v>1203.6589046286415</v>
      </c>
      <c r="T7" s="7">
        <f t="shared" si="15"/>
        <v>2.0788696634004413</v>
      </c>
      <c r="U7" s="7">
        <f t="shared" si="16"/>
        <v>0</v>
      </c>
      <c r="V7" s="7">
        <f t="shared" si="17"/>
        <v>0</v>
      </c>
      <c r="W7" s="7"/>
      <c r="X7" s="7"/>
      <c r="Y7" s="7">
        <f t="shared" si="18"/>
        <v>0</v>
      </c>
      <c r="Z7" s="7">
        <f t="shared" si="18"/>
        <v>0</v>
      </c>
      <c r="AA7" s="7">
        <f t="shared" si="19"/>
        <v>421.28061662002449</v>
      </c>
      <c r="AB7" s="7"/>
      <c r="AC7" s="7">
        <f t="shared" si="20"/>
        <v>59.396276097155464</v>
      </c>
      <c r="AD7" s="7">
        <f t="shared" si="21"/>
        <v>0</v>
      </c>
      <c r="AE7" s="7">
        <f t="shared" si="22"/>
        <v>651953.17902648682</v>
      </c>
      <c r="AF7" s="9">
        <f t="shared" si="23"/>
        <v>391171.90741589206</v>
      </c>
      <c r="AG7" s="56">
        <f t="shared" si="24"/>
        <v>260781.27161059482</v>
      </c>
      <c r="AH7" s="165">
        <f t="shared" si="25"/>
        <v>0.84</v>
      </c>
      <c r="AI7" s="56">
        <f t="shared" si="133"/>
        <v>652012.57530258398</v>
      </c>
      <c r="AJ7" s="56">
        <f t="shared" si="26"/>
        <v>57.089846306377801</v>
      </c>
      <c r="AK7" s="56">
        <f t="shared" si="27"/>
        <v>0</v>
      </c>
      <c r="AL7" s="56">
        <f t="shared" ref="AL7:AL38" si="167">(AE7*AH7)  * DY7</f>
        <v>526375.11570765951</v>
      </c>
      <c r="AM7" s="9">
        <f t="shared" ref="AM7:AM38" si="168">AJ7+AK7+AL7</f>
        <v>526432.20555396588</v>
      </c>
      <c r="AN7" s="9">
        <f t="shared" si="28"/>
        <v>0</v>
      </c>
      <c r="AO7" s="9">
        <f t="shared" si="29"/>
        <v>0</v>
      </c>
      <c r="AP7" s="9">
        <f t="shared" si="30"/>
        <v>0</v>
      </c>
      <c r="AQ7" s="9">
        <f t="shared" si="134"/>
        <v>56146.856438993869</v>
      </c>
      <c r="AR7" s="9">
        <f t="shared" si="31"/>
        <v>32000</v>
      </c>
      <c r="AS7" s="9">
        <f t="shared" si="32"/>
        <v>44000</v>
      </c>
      <c r="AT7" s="9">
        <f t="shared" si="33"/>
        <v>50208.802419110449</v>
      </c>
      <c r="AU7" s="9">
        <f t="shared" si="135"/>
        <v>9374.9807071200012</v>
      </c>
      <c r="AV7" s="9">
        <f t="shared" si="136"/>
        <v>50632.16190539387</v>
      </c>
      <c r="AW7" s="7">
        <f t="shared" si="137"/>
        <v>61661.550972593868</v>
      </c>
      <c r="AX7" s="7">
        <f t="shared" si="138"/>
        <v>60007.142612513875</v>
      </c>
      <c r="AY7" s="7">
        <f t="shared" si="34"/>
        <v>423.35948628342493</v>
      </c>
      <c r="AZ7" s="7">
        <f t="shared" si="139"/>
        <v>0</v>
      </c>
      <c r="BA7" s="7">
        <f t="shared" si="35"/>
        <v>0</v>
      </c>
      <c r="BB7" s="7">
        <f t="shared" si="36"/>
        <v>0</v>
      </c>
      <c r="BC7" s="7">
        <f t="shared" si="37"/>
        <v>63.19209249300367</v>
      </c>
      <c r="BD7" s="7">
        <f t="shared" si="38"/>
        <v>30260.660800000001</v>
      </c>
      <c r="BE7" s="7">
        <f t="shared" si="39"/>
        <v>23258.826831300219</v>
      </c>
      <c r="BF7" s="7">
        <f t="shared" si="140"/>
        <v>23258.826831300219</v>
      </c>
      <c r="BG7" s="7">
        <f t="shared" ref="BG7:BG38" si="169">MAX(0,K7+ AU7+O7+T7 + U7 + V7 - BD7)</f>
        <v>29325.201195893849</v>
      </c>
      <c r="BH7" s="7">
        <f>MAX(0,K7+AU7+O7+T7+U7+V7-BE7)</f>
        <v>36327.035164593632</v>
      </c>
      <c r="BI7" s="7">
        <f t="shared" si="141"/>
        <v>29325.201195893849</v>
      </c>
      <c r="BJ7" s="7">
        <f t="shared" si="40"/>
        <v>2.0788696634004413</v>
      </c>
      <c r="BK7" s="7">
        <f t="shared" si="41"/>
        <v>0</v>
      </c>
      <c r="BL7" s="7">
        <f t="shared" si="42"/>
        <v>0</v>
      </c>
      <c r="BM7" s="7">
        <f t="shared" si="43"/>
        <v>50208.802419110449</v>
      </c>
      <c r="BN7" s="7">
        <f t="shared" si="44"/>
        <v>421.28061662002449</v>
      </c>
      <c r="BO7" s="7">
        <f t="shared" si="45"/>
        <v>0</v>
      </c>
      <c r="BP7" s="7">
        <f t="shared" si="142"/>
        <v>8800</v>
      </c>
      <c r="BQ7" s="7">
        <f t="shared" si="46"/>
        <v>8800</v>
      </c>
      <c r="BR7" s="7">
        <f t="shared" si="47"/>
        <v>0</v>
      </c>
      <c r="BS7" s="7">
        <f t="shared" si="48"/>
        <v>0</v>
      </c>
      <c r="BT7" s="7">
        <f t="shared" si="49"/>
        <v>41832.16190539387</v>
      </c>
      <c r="BU7" s="157">
        <f t="shared" si="50"/>
        <v>8.3614736237111811E-3</v>
      </c>
      <c r="BV7" s="51">
        <f t="shared" si="51"/>
        <v>0</v>
      </c>
      <c r="BW7" s="51">
        <f t="shared" si="52"/>
        <v>1000000</v>
      </c>
      <c r="BX7" s="51">
        <f t="shared" si="53"/>
        <v>10000000000</v>
      </c>
      <c r="BY7" s="51">
        <f t="shared" si="54"/>
        <v>10000000000</v>
      </c>
      <c r="BZ7" s="51">
        <f t="shared" si="55"/>
        <v>10000000000</v>
      </c>
      <c r="CA7" s="51">
        <f t="shared" si="56"/>
        <v>10000000000</v>
      </c>
      <c r="CB7" s="51">
        <f t="shared" si="57"/>
        <v>10000000000</v>
      </c>
      <c r="CC7" s="51">
        <f t="shared" si="58"/>
        <v>10000000000</v>
      </c>
      <c r="CD7" s="51">
        <f t="shared" si="59"/>
        <v>10000000000</v>
      </c>
      <c r="CE7" s="51">
        <f t="shared" si="60"/>
        <v>10000000000</v>
      </c>
      <c r="CF7" s="51">
        <f t="shared" si="61"/>
        <v>10000000000</v>
      </c>
      <c r="CG7" s="51">
        <f t="shared" si="62"/>
        <v>10000000000</v>
      </c>
      <c r="CH7" s="51">
        <f t="shared" si="63"/>
        <v>0</v>
      </c>
      <c r="CI7" s="51">
        <f t="shared" si="64"/>
        <v>1000000</v>
      </c>
      <c r="CJ7" s="51">
        <f t="shared" si="65"/>
        <v>10000000000</v>
      </c>
      <c r="CK7" s="51">
        <f t="shared" si="66"/>
        <v>10000000000</v>
      </c>
      <c r="CL7" s="51">
        <f t="shared" si="67"/>
        <v>10000000000</v>
      </c>
      <c r="CM7" s="51">
        <f t="shared" si="68"/>
        <v>10000000000</v>
      </c>
      <c r="CN7" s="51">
        <f t="shared" si="69"/>
        <v>10000000000</v>
      </c>
      <c r="CO7" s="51">
        <f t="shared" si="70"/>
        <v>10000000000</v>
      </c>
      <c r="CP7" s="51">
        <f t="shared" si="71"/>
        <v>10000000000</v>
      </c>
      <c r="CQ7" s="51">
        <f t="shared" si="72"/>
        <v>10000000000</v>
      </c>
      <c r="CR7" s="51">
        <f t="shared" si="73"/>
        <v>10000000000</v>
      </c>
      <c r="CS7" s="51">
        <f t="shared" si="74"/>
        <v>10000000000</v>
      </c>
      <c r="CT7" s="7">
        <f t="shared" si="75"/>
        <v>50000</v>
      </c>
      <c r="CU7" s="7">
        <f t="shared" si="76"/>
        <v>0</v>
      </c>
      <c r="CV7" s="7">
        <f t="shared" si="76"/>
        <v>0</v>
      </c>
      <c r="CW7" s="7">
        <f t="shared" si="76"/>
        <v>0</v>
      </c>
      <c r="CX7" s="7">
        <f t="shared" si="76"/>
        <v>0</v>
      </c>
      <c r="CY7" s="7">
        <f t="shared" si="76"/>
        <v>0</v>
      </c>
      <c r="CZ7" s="7">
        <f t="shared" si="76"/>
        <v>0</v>
      </c>
      <c r="DA7" s="7">
        <f t="shared" si="76"/>
        <v>0</v>
      </c>
      <c r="DB7" s="7">
        <f t="shared" si="76"/>
        <v>0</v>
      </c>
      <c r="DC7" s="7">
        <f t="shared" si="76"/>
        <v>0</v>
      </c>
      <c r="DD7" s="7">
        <f t="shared" si="76"/>
        <v>0</v>
      </c>
      <c r="DE7" s="37">
        <f t="shared" si="77"/>
        <v>0.05</v>
      </c>
      <c r="DF7" s="37">
        <f t="shared" si="78"/>
        <v>0.09</v>
      </c>
      <c r="DG7" s="7">
        <f t="shared" si="79"/>
        <v>0</v>
      </c>
      <c r="DH7" s="7">
        <f t="shared" si="80"/>
        <v>0</v>
      </c>
      <c r="DI7" s="7">
        <f t="shared" si="81"/>
        <v>0</v>
      </c>
      <c r="DJ7" s="7">
        <f t="shared" si="82"/>
        <v>0</v>
      </c>
      <c r="DK7" s="7">
        <f t="shared" si="83"/>
        <v>0</v>
      </c>
      <c r="DL7" s="7">
        <f t="shared" si="84"/>
        <v>0</v>
      </c>
      <c r="DM7" s="7">
        <f t="shared" si="85"/>
        <v>0</v>
      </c>
      <c r="DN7" s="7">
        <f t="shared" si="86"/>
        <v>0</v>
      </c>
      <c r="DO7" s="7">
        <f t="shared" si="87"/>
        <v>0</v>
      </c>
      <c r="DP7" s="7">
        <f t="shared" si="88"/>
        <v>0</v>
      </c>
      <c r="DQ7" s="7">
        <f t="shared" si="89"/>
        <v>2091.6080952696934</v>
      </c>
      <c r="DR7" s="37">
        <f t="shared" si="90"/>
        <v>0.05</v>
      </c>
      <c r="DS7" s="7">
        <f t="shared" si="91"/>
        <v>17.488925919738325</v>
      </c>
      <c r="DT7" s="7" t="b">
        <f t="shared" si="92"/>
        <v>1</v>
      </c>
      <c r="DU7" s="7" t="b">
        <f t="shared" si="93"/>
        <v>0</v>
      </c>
      <c r="DV7" s="7" t="b">
        <f t="shared" si="94"/>
        <v>0</v>
      </c>
      <c r="DW7" s="7" t="b">
        <f t="shared" si="95"/>
        <v>1</v>
      </c>
      <c r="DX7" s="7" t="b">
        <f t="shared" si="96"/>
        <v>0</v>
      </c>
      <c r="DY7" s="207">
        <f t="shared" si="97"/>
        <v>0.96116878123798544</v>
      </c>
      <c r="DZ7" s="7">
        <f t="shared" si="98"/>
        <v>3038.1698075072618</v>
      </c>
      <c r="EA7" s="36">
        <f t="shared" si="99"/>
        <v>0.12</v>
      </c>
      <c r="EB7" s="51">
        <f t="shared" ref="EB7:EB38" si="170">DZ7+BA7+BB7+BC7</f>
        <v>3101.3619000002655</v>
      </c>
      <c r="EC7" s="7">
        <f t="shared" si="100"/>
        <v>24042.716800000002</v>
      </c>
      <c r="ED7" s="7">
        <f t="shared" si="101"/>
        <v>97725.353199999998</v>
      </c>
      <c r="EE7" s="7">
        <f t="shared" si="102"/>
        <v>208352.94020000001</v>
      </c>
      <c r="EF7" s="7">
        <f t="shared" si="103"/>
        <v>397844.78360000002</v>
      </c>
      <c r="EG7" s="7">
        <f t="shared" si="104"/>
        <v>505156.13380000001</v>
      </c>
      <c r="EH7" s="7">
        <f t="shared" si="105"/>
        <v>2404.2716800000003</v>
      </c>
      <c r="EI7" s="7">
        <f t="shared" si="106"/>
        <v>11246.188047999998</v>
      </c>
      <c r="EJ7" s="7">
        <f t="shared" si="107"/>
        <v>35584.257188000003</v>
      </c>
      <c r="EK7" s="7">
        <f t="shared" si="108"/>
        <v>81062.299604</v>
      </c>
      <c r="EL7" s="7">
        <f t="shared" si="109"/>
        <v>115401.931668</v>
      </c>
      <c r="EM7" s="7">
        <f t="shared" si="110"/>
        <v>213482.74400000001</v>
      </c>
      <c r="EN7" s="7">
        <f t="shared" si="111"/>
        <v>267371.592</v>
      </c>
      <c r="EO7" s="7">
        <f t="shared" si="112"/>
        <v>333696.32799999998</v>
      </c>
      <c r="EP7" s="7">
        <f t="shared" si="113"/>
        <v>400021.06400000001</v>
      </c>
      <c r="EQ7" s="7">
        <f t="shared" si="114"/>
        <v>777243</v>
      </c>
      <c r="ER7" s="7">
        <f t="shared" si="115"/>
        <v>0</v>
      </c>
      <c r="ES7" s="10">
        <f t="shared" si="116"/>
        <v>1</v>
      </c>
      <c r="ET7" s="16">
        <f t="shared" si="117"/>
        <v>1</v>
      </c>
      <c r="EU7" s="16">
        <f t="shared" si="118"/>
        <v>0</v>
      </c>
      <c r="EV7" s="7">
        <f t="shared" si="119"/>
        <v>0</v>
      </c>
      <c r="EW7" s="37">
        <f t="shared" si="143"/>
        <v>7.8285618098321907E-2</v>
      </c>
      <c r="EX7" s="7">
        <f t="shared" si="120"/>
        <v>5192.9699952699593</v>
      </c>
      <c r="EY7" s="7">
        <f t="shared" ref="EY7:EY38" si="171">EX7 * DY7</f>
        <v>4991.3206413590542</v>
      </c>
      <c r="EZ7" s="37">
        <f t="shared" si="121"/>
        <v>0.16999999999999998</v>
      </c>
      <c r="FA7" s="37">
        <f t="shared" si="122"/>
        <v>8.421731068000593E-2</v>
      </c>
      <c r="FB7" s="7">
        <f t="shared" si="123"/>
        <v>57248.880395669126</v>
      </c>
      <c r="FC7" s="7">
        <f>FB7 * DY7</f>
        <v>55025.836597144495</v>
      </c>
      <c r="FD7" s="7">
        <f t="shared" si="144"/>
        <v>927.06620825519201</v>
      </c>
      <c r="FE7" s="7">
        <f t="shared" si="124"/>
        <v>55000</v>
      </c>
      <c r="FF7" s="7">
        <f t="shared" si="145"/>
        <v>10601.104447520187</v>
      </c>
      <c r="FG7" s="7">
        <f t="shared" si="146"/>
        <v>0</v>
      </c>
      <c r="FH7" s="7">
        <f t="shared" si="147"/>
        <v>0</v>
      </c>
      <c r="FI7" s="7">
        <f t="shared" si="125"/>
        <v>73.683397343407151</v>
      </c>
      <c r="FJ7" s="7">
        <f t="shared" si="148"/>
        <v>48259.133428595203</v>
      </c>
      <c r="FK7" s="7">
        <f t="shared" si="149"/>
        <v>0</v>
      </c>
      <c r="FL7" s="7">
        <f t="shared" si="150"/>
        <v>1156.9193623881599</v>
      </c>
      <c r="FM7" s="7">
        <f t="shared" si="151"/>
        <v>0</v>
      </c>
      <c r="FN7" s="7">
        <f t="shared" si="152"/>
        <v>0</v>
      </c>
      <c r="FO7" s="7">
        <f t="shared" si="153"/>
        <v>60.738266525378386</v>
      </c>
      <c r="FP7" s="7">
        <f t="shared" si="154"/>
        <v>2920.1939710757997</v>
      </c>
      <c r="FQ7" s="7">
        <f t="shared" si="155"/>
        <v>2010.3884037578753</v>
      </c>
      <c r="FR7" s="7">
        <f t="shared" si="156"/>
        <v>0</v>
      </c>
      <c r="FS7" s="7">
        <f t="shared" si="157"/>
        <v>9010.9387803921582</v>
      </c>
      <c r="FT7" s="7">
        <f t="shared" si="158"/>
        <v>1.9981446207232232</v>
      </c>
      <c r="FU7" s="7">
        <f t="shared" si="159"/>
        <v>404.92177683585595</v>
      </c>
      <c r="FV7" s="7">
        <f t="shared" si="160"/>
        <v>48259.133428595203</v>
      </c>
      <c r="FW7" s="7">
        <f t="shared" si="161"/>
        <v>1.9981446207232232</v>
      </c>
      <c r="FX7" s="7">
        <f t="shared" si="162"/>
        <v>0</v>
      </c>
      <c r="FY7" s="7">
        <f t="shared" si="163"/>
        <v>0</v>
      </c>
      <c r="FZ7" s="7">
        <f t="shared" si="164"/>
        <v>404.92177683585595</v>
      </c>
      <c r="GA7" s="7">
        <f t="shared" si="165"/>
        <v>0</v>
      </c>
      <c r="GB7" s="7">
        <f t="shared" si="166"/>
        <v>48259.133428595203</v>
      </c>
      <c r="GC7" s="7">
        <f t="shared" si="126"/>
        <v>70.822181222036861</v>
      </c>
      <c r="GD7" s="7">
        <f t="shared" si="127"/>
        <v>165052.07754454791</v>
      </c>
      <c r="GE7" s="7">
        <f t="shared" si="128"/>
        <v>691484.28309851373</v>
      </c>
      <c r="GF7" s="7">
        <f t="shared" si="129"/>
        <v>11647.600511612514</v>
      </c>
      <c r="GG7" s="7">
        <f t="shared" si="130"/>
        <v>30978.936212226072</v>
      </c>
      <c r="GH7" s="7">
        <f t="shared" si="131"/>
        <v>0</v>
      </c>
      <c r="GI7" s="7">
        <f t="shared" si="132"/>
        <v>0</v>
      </c>
      <c r="GJ7" s="7">
        <v>732473.50855701021</v>
      </c>
      <c r="GK7" s="7">
        <v>78034.833333333343</v>
      </c>
    </row>
    <row r="8" spans="1:193" x14ac:dyDescent="0.55000000000000004">
      <c r="A8" s="60">
        <f t="shared" si="0"/>
        <v>2028</v>
      </c>
      <c r="B8" s="60">
        <f t="shared" si="1"/>
        <v>65</v>
      </c>
      <c r="C8" s="60">
        <f t="shared" si="2"/>
        <v>65</v>
      </c>
      <c r="D8" s="7">
        <f t="shared" si="3"/>
        <v>5000</v>
      </c>
      <c r="E8" s="7">
        <f t="shared" si="4"/>
        <v>5000</v>
      </c>
      <c r="F8" s="7">
        <f t="shared" si="5"/>
        <v>0</v>
      </c>
      <c r="G8" s="7">
        <f t="shared" si="6"/>
        <v>0</v>
      </c>
      <c r="H8" s="7">
        <f t="shared" si="7"/>
        <v>0</v>
      </c>
      <c r="I8" s="7">
        <f t="shared" si="8"/>
        <v>11227.918070409602</v>
      </c>
      <c r="J8" s="7">
        <f t="shared" si="9"/>
        <v>11227.918070409602</v>
      </c>
      <c r="K8" s="7">
        <f t="shared" si="10"/>
        <v>10000</v>
      </c>
      <c r="L8" s="7">
        <f t="shared" si="11"/>
        <v>0</v>
      </c>
      <c r="M8" s="7">
        <f t="shared" si="12"/>
        <v>10000</v>
      </c>
      <c r="N8" s="7">
        <f t="shared" si="13"/>
        <v>21227.9180704096</v>
      </c>
      <c r="O8" s="7">
        <f t="shared" si="14"/>
        <v>42599.665768257531</v>
      </c>
      <c r="P8" s="7">
        <v>0</v>
      </c>
      <c r="Q8" s="29">
        <v>25559.799460954513</v>
      </c>
      <c r="R8" s="29">
        <v>17039.866307303015</v>
      </c>
      <c r="S8" s="7">
        <v>49.396276097155464</v>
      </c>
      <c r="T8" s="7">
        <f t="shared" si="15"/>
        <v>0.43986817754581636</v>
      </c>
      <c r="U8" s="7">
        <f t="shared" si="16"/>
        <v>0</v>
      </c>
      <c r="V8" s="7">
        <f t="shared" si="17"/>
        <v>0</v>
      </c>
      <c r="W8" s="7"/>
      <c r="X8" s="7"/>
      <c r="Y8" s="7">
        <f t="shared" si="18"/>
        <v>0</v>
      </c>
      <c r="Z8" s="7">
        <f t="shared" si="18"/>
        <v>0</v>
      </c>
      <c r="AA8" s="7">
        <f t="shared" si="19"/>
        <v>17.28869663400441</v>
      </c>
      <c r="AB8" s="7"/>
      <c r="AC8" s="7">
        <f t="shared" si="20"/>
        <v>12.567662215594751</v>
      </c>
      <c r="AD8" s="7">
        <f t="shared" si="21"/>
        <v>0</v>
      </c>
      <c r="AE8" s="7">
        <f t="shared" si="22"/>
        <v>656021.86087276391</v>
      </c>
      <c r="AF8" s="9">
        <f t="shared" si="23"/>
        <v>393613.11652365827</v>
      </c>
      <c r="AG8" s="56">
        <f t="shared" si="24"/>
        <v>262408.74434910563</v>
      </c>
      <c r="AH8" s="165">
        <f t="shared" si="25"/>
        <v>0.84</v>
      </c>
      <c r="AI8" s="56">
        <f t="shared" si="133"/>
        <v>656034.42853497947</v>
      </c>
      <c r="AJ8" s="56">
        <f t="shared" si="26"/>
        <v>11.84278879879793</v>
      </c>
      <c r="AK8" s="56">
        <f t="shared" si="27"/>
        <v>0</v>
      </c>
      <c r="AL8" s="56">
        <f t="shared" si="167"/>
        <v>519274.60321927624</v>
      </c>
      <c r="AM8" s="9">
        <f t="shared" si="168"/>
        <v>519286.44600807503</v>
      </c>
      <c r="AN8" s="9">
        <f t="shared" si="28"/>
        <v>0</v>
      </c>
      <c r="AO8" s="9">
        <f t="shared" si="29"/>
        <v>0</v>
      </c>
      <c r="AP8" s="9">
        <f t="shared" si="30"/>
        <v>0</v>
      </c>
      <c r="AQ8" s="9">
        <f t="shared" si="134"/>
        <v>68231.353368273878</v>
      </c>
      <c r="AR8" s="9">
        <f t="shared" si="31"/>
        <v>32000</v>
      </c>
      <c r="AS8" s="9">
        <f t="shared" si="32"/>
        <v>44000</v>
      </c>
      <c r="AT8" s="9">
        <f t="shared" si="33"/>
        <v>42599.665768257531</v>
      </c>
      <c r="AU8" s="9">
        <f t="shared" si="135"/>
        <v>9543.7303598481612</v>
      </c>
      <c r="AV8" s="9">
        <f t="shared" si="136"/>
        <v>62617.394333069082</v>
      </c>
      <c r="AW8" s="7">
        <f t="shared" si="137"/>
        <v>63845.312403478682</v>
      </c>
      <c r="AX8" s="7">
        <f t="shared" si="138"/>
        <v>62161.124692917241</v>
      </c>
      <c r="AY8" s="7">
        <f t="shared" si="34"/>
        <v>17.728564811550225</v>
      </c>
      <c r="AZ8" s="7">
        <f t="shared" si="139"/>
        <v>0</v>
      </c>
      <c r="BA8" s="7">
        <f t="shared" si="35"/>
        <v>0</v>
      </c>
      <c r="BB8" s="7">
        <f t="shared" si="36"/>
        <v>0</v>
      </c>
      <c r="BC8" s="7">
        <f t="shared" si="37"/>
        <v>2.5933044951006612</v>
      </c>
      <c r="BD8" s="7">
        <f t="shared" si="38"/>
        <v>30805.3526944</v>
      </c>
      <c r="BE8" s="7">
        <f t="shared" si="39"/>
        <v>23323.08845268398</v>
      </c>
      <c r="BF8" s="7">
        <f t="shared" si="140"/>
        <v>23323.08845268398</v>
      </c>
      <c r="BG8" s="7">
        <f t="shared" si="169"/>
        <v>31338.48330188324</v>
      </c>
      <c r="BH8" s="7">
        <f t="shared" ref="BH8:BH38" si="172">MAX(0,K8+AU8+O8+T8+U8+V8-BE8)</f>
        <v>38820.74754359926</v>
      </c>
      <c r="BI8" s="7">
        <f t="shared" si="141"/>
        <v>31338.48330188324</v>
      </c>
      <c r="BJ8" s="7">
        <f t="shared" si="40"/>
        <v>0.43986817754581636</v>
      </c>
      <c r="BK8" s="7">
        <f t="shared" si="41"/>
        <v>0</v>
      </c>
      <c r="BL8" s="7">
        <f t="shared" si="42"/>
        <v>10000</v>
      </c>
      <c r="BM8" s="7">
        <f t="shared" si="43"/>
        <v>42599.665768257531</v>
      </c>
      <c r="BN8" s="7">
        <f t="shared" si="44"/>
        <v>17.28869663400441</v>
      </c>
      <c r="BO8" s="7">
        <f t="shared" si="45"/>
        <v>0</v>
      </c>
      <c r="BP8" s="7">
        <f t="shared" si="142"/>
        <v>9500</v>
      </c>
      <c r="BQ8" s="7">
        <f t="shared" si="46"/>
        <v>9500</v>
      </c>
      <c r="BR8" s="7">
        <f t="shared" si="47"/>
        <v>0</v>
      </c>
      <c r="BS8" s="7">
        <f t="shared" si="48"/>
        <v>0</v>
      </c>
      <c r="BT8" s="7">
        <f t="shared" si="49"/>
        <v>43117.394333069082</v>
      </c>
      <c r="BU8" s="157">
        <f t="shared" si="50"/>
        <v>3.3693353759268427E-4</v>
      </c>
      <c r="BV8" s="51">
        <f t="shared" si="51"/>
        <v>0</v>
      </c>
      <c r="BW8" s="51">
        <f t="shared" si="52"/>
        <v>1000000</v>
      </c>
      <c r="BX8" s="51">
        <f t="shared" si="53"/>
        <v>10000000000</v>
      </c>
      <c r="BY8" s="51">
        <f t="shared" si="54"/>
        <v>10000000000</v>
      </c>
      <c r="BZ8" s="51">
        <f t="shared" si="55"/>
        <v>10000000000</v>
      </c>
      <c r="CA8" s="51">
        <f t="shared" si="56"/>
        <v>10000000000</v>
      </c>
      <c r="CB8" s="51">
        <f t="shared" si="57"/>
        <v>10000000000</v>
      </c>
      <c r="CC8" s="51">
        <f t="shared" si="58"/>
        <v>10000000000</v>
      </c>
      <c r="CD8" s="51">
        <f t="shared" si="59"/>
        <v>10000000000</v>
      </c>
      <c r="CE8" s="51">
        <f t="shared" si="60"/>
        <v>10000000000</v>
      </c>
      <c r="CF8" s="51">
        <f t="shared" si="61"/>
        <v>10000000000</v>
      </c>
      <c r="CG8" s="51">
        <f t="shared" si="62"/>
        <v>10000000000</v>
      </c>
      <c r="CH8" s="51">
        <f t="shared" si="63"/>
        <v>0</v>
      </c>
      <c r="CI8" s="51">
        <f t="shared" si="64"/>
        <v>1000000</v>
      </c>
      <c r="CJ8" s="51">
        <f t="shared" si="65"/>
        <v>10000000000</v>
      </c>
      <c r="CK8" s="51">
        <f t="shared" si="66"/>
        <v>10000000000</v>
      </c>
      <c r="CL8" s="51">
        <f t="shared" si="67"/>
        <v>10000000000</v>
      </c>
      <c r="CM8" s="51">
        <f t="shared" si="68"/>
        <v>10000000000</v>
      </c>
      <c r="CN8" s="51">
        <f t="shared" si="69"/>
        <v>10000000000</v>
      </c>
      <c r="CO8" s="51">
        <f t="shared" si="70"/>
        <v>10000000000</v>
      </c>
      <c r="CP8" s="51">
        <f t="shared" si="71"/>
        <v>10000000000</v>
      </c>
      <c r="CQ8" s="51">
        <f t="shared" si="72"/>
        <v>10000000000</v>
      </c>
      <c r="CR8" s="51">
        <f t="shared" si="73"/>
        <v>10000000000</v>
      </c>
      <c r="CS8" s="51">
        <f t="shared" si="74"/>
        <v>10000000000</v>
      </c>
      <c r="CT8" s="7">
        <f t="shared" si="75"/>
        <v>50000</v>
      </c>
      <c r="CU8" s="7">
        <f t="shared" si="76"/>
        <v>0</v>
      </c>
      <c r="CV8" s="7">
        <f t="shared" si="76"/>
        <v>0</v>
      </c>
      <c r="CW8" s="7">
        <f t="shared" si="76"/>
        <v>0</v>
      </c>
      <c r="CX8" s="7">
        <f t="shared" si="76"/>
        <v>0</v>
      </c>
      <c r="CY8" s="7">
        <f t="shared" si="76"/>
        <v>0</v>
      </c>
      <c r="CZ8" s="7">
        <f t="shared" si="76"/>
        <v>0</v>
      </c>
      <c r="DA8" s="7">
        <f t="shared" si="76"/>
        <v>0</v>
      </c>
      <c r="DB8" s="7">
        <f t="shared" si="76"/>
        <v>0</v>
      </c>
      <c r="DC8" s="7">
        <f t="shared" si="76"/>
        <v>0</v>
      </c>
      <c r="DD8" s="7">
        <f t="shared" si="76"/>
        <v>0</v>
      </c>
      <c r="DE8" s="37">
        <f t="shared" si="77"/>
        <v>0.05</v>
      </c>
      <c r="DF8" s="37">
        <f t="shared" si="78"/>
        <v>0.09</v>
      </c>
      <c r="DG8" s="7">
        <f t="shared" si="79"/>
        <v>0</v>
      </c>
      <c r="DH8" s="7">
        <f t="shared" si="80"/>
        <v>0</v>
      </c>
      <c r="DI8" s="7">
        <f t="shared" si="81"/>
        <v>0</v>
      </c>
      <c r="DJ8" s="7">
        <f t="shared" si="82"/>
        <v>0</v>
      </c>
      <c r="DK8" s="7">
        <f t="shared" si="83"/>
        <v>0</v>
      </c>
      <c r="DL8" s="7">
        <f t="shared" si="84"/>
        <v>0</v>
      </c>
      <c r="DM8" s="7">
        <f t="shared" si="85"/>
        <v>0</v>
      </c>
      <c r="DN8" s="7">
        <f t="shared" si="86"/>
        <v>0</v>
      </c>
      <c r="DO8" s="7">
        <f t="shared" si="87"/>
        <v>0</v>
      </c>
      <c r="DP8" s="7">
        <f t="shared" si="88"/>
        <v>0</v>
      </c>
      <c r="DQ8" s="7">
        <f t="shared" si="89"/>
        <v>2155.8697166534544</v>
      </c>
      <c r="DR8" s="37">
        <f t="shared" si="90"/>
        <v>0.05</v>
      </c>
      <c r="DS8" s="7">
        <f t="shared" si="91"/>
        <v>0.72638481022098622</v>
      </c>
      <c r="DT8" s="7" t="b">
        <f t="shared" si="92"/>
        <v>1</v>
      </c>
      <c r="DU8" s="7" t="b">
        <f t="shared" si="93"/>
        <v>0</v>
      </c>
      <c r="DV8" s="7" t="b">
        <f t="shared" si="94"/>
        <v>0</v>
      </c>
      <c r="DW8" s="7" t="b">
        <f t="shared" si="95"/>
        <v>1</v>
      </c>
      <c r="DX8" s="7" t="b">
        <f t="shared" si="96"/>
        <v>0</v>
      </c>
      <c r="DY8" s="207">
        <f t="shared" si="97"/>
        <v>0.94232233454704462</v>
      </c>
      <c r="DZ8" s="7">
        <f t="shared" si="98"/>
        <v>3271.1082821779887</v>
      </c>
      <c r="EA8" s="36">
        <f t="shared" si="99"/>
        <v>0.12</v>
      </c>
      <c r="EB8" s="51">
        <f t="shared" si="170"/>
        <v>3273.7015866730894</v>
      </c>
      <c r="EC8" s="7">
        <f t="shared" si="100"/>
        <v>24475.485702400001</v>
      </c>
      <c r="ED8" s="7">
        <f t="shared" si="101"/>
        <v>99484.409557600011</v>
      </c>
      <c r="EE8" s="7">
        <f t="shared" si="102"/>
        <v>212103.29312360001</v>
      </c>
      <c r="EF8" s="7">
        <f t="shared" si="103"/>
        <v>405005.98970480001</v>
      </c>
      <c r="EG8" s="7">
        <f t="shared" si="104"/>
        <v>514248.94420840003</v>
      </c>
      <c r="EH8" s="7">
        <f t="shared" si="105"/>
        <v>2447.5485702400001</v>
      </c>
      <c r="EI8" s="7">
        <f t="shared" si="106"/>
        <v>11448.619432863999</v>
      </c>
      <c r="EJ8" s="7">
        <f t="shared" si="107"/>
        <v>36224.773817383997</v>
      </c>
      <c r="EK8" s="7">
        <f t="shared" si="108"/>
        <v>82521.420996871995</v>
      </c>
      <c r="EL8" s="7">
        <f t="shared" si="109"/>
        <v>117479.166438024</v>
      </c>
      <c r="EM8" s="7">
        <f t="shared" si="110"/>
        <v>217325.43339200001</v>
      </c>
      <c r="EN8" s="7">
        <f t="shared" si="111"/>
        <v>272184.28065600002</v>
      </c>
      <c r="EO8" s="7">
        <f t="shared" si="112"/>
        <v>339702.86190399999</v>
      </c>
      <c r="EP8" s="7">
        <f t="shared" si="113"/>
        <v>407221.44315200002</v>
      </c>
      <c r="EQ8" s="7">
        <f t="shared" si="114"/>
        <v>791233.37400000007</v>
      </c>
      <c r="ER8" s="7">
        <f t="shared" si="115"/>
        <v>4405.5874264320009</v>
      </c>
      <c r="ES8" s="10">
        <f t="shared" si="116"/>
        <v>1</v>
      </c>
      <c r="ET8" s="16">
        <f t="shared" si="117"/>
        <v>1</v>
      </c>
      <c r="EU8" s="16">
        <f t="shared" si="118"/>
        <v>24</v>
      </c>
      <c r="EV8" s="7">
        <f t="shared" si="119"/>
        <v>0</v>
      </c>
      <c r="EW8" s="37">
        <f t="shared" si="143"/>
        <v>6.5411410239384168E-2</v>
      </c>
      <c r="EX8" s="7">
        <f t="shared" si="120"/>
        <v>5429.5713033265438</v>
      </c>
      <c r="EY8" s="7">
        <f t="shared" si="171"/>
        <v>5116.4063061403085</v>
      </c>
      <c r="EZ8" s="37">
        <f t="shared" si="121"/>
        <v>0.16999999999999998</v>
      </c>
      <c r="FA8" s="37">
        <f t="shared" si="122"/>
        <v>8.5042599040218769E-2</v>
      </c>
      <c r="FB8" s="7">
        <f t="shared" si="123"/>
        <v>58447.408811437745</v>
      </c>
      <c r="FC8" s="7">
        <f>FB8 * DY8</f>
        <v>55076.298719419523</v>
      </c>
      <c r="FD8" s="7">
        <f t="shared" si="144"/>
        <v>1702.5738669038356</v>
      </c>
      <c r="FE8" s="7">
        <f t="shared" si="124"/>
        <v>55000</v>
      </c>
      <c r="FF8" s="7">
        <f t="shared" si="145"/>
        <v>10580.317968211324</v>
      </c>
      <c r="FG8" s="7">
        <f t="shared" si="146"/>
        <v>0</v>
      </c>
      <c r="FH8" s="7">
        <f t="shared" si="147"/>
        <v>9423.2233454704456</v>
      </c>
      <c r="FI8" s="7">
        <f t="shared" si="125"/>
        <v>3.2234052098107977</v>
      </c>
      <c r="FJ8" s="7">
        <f t="shared" si="148"/>
        <v>40142.616497668256</v>
      </c>
      <c r="FK8" s="7">
        <f t="shared" si="149"/>
        <v>0</v>
      </c>
      <c r="FL8" s="7">
        <f t="shared" si="150"/>
        <v>46.547214209801915</v>
      </c>
      <c r="FM8" s="7">
        <f t="shared" si="151"/>
        <v>0</v>
      </c>
      <c r="FN8" s="7">
        <f t="shared" si="152"/>
        <v>0</v>
      </c>
      <c r="FO8" s="7">
        <f t="shared" si="153"/>
        <v>2.4437287460146</v>
      </c>
      <c r="FP8" s="7">
        <f t="shared" si="154"/>
        <v>3082.4383930181352</v>
      </c>
      <c r="FQ8" s="7">
        <f t="shared" si="155"/>
        <v>2031.5241843761587</v>
      </c>
      <c r="FR8" s="7">
        <f t="shared" si="156"/>
        <v>0</v>
      </c>
      <c r="FS8" s="7">
        <f t="shared" si="157"/>
        <v>8993.2702729796256</v>
      </c>
      <c r="FT8" s="7">
        <f t="shared" si="158"/>
        <v>0.41449760795792756</v>
      </c>
      <c r="FU8" s="7">
        <f t="shared" si="159"/>
        <v>16.291524973430668</v>
      </c>
      <c r="FV8" s="7">
        <f t="shared" si="160"/>
        <v>40142.616497668256</v>
      </c>
      <c r="FW8" s="7">
        <f t="shared" si="161"/>
        <v>0.41449760795792756</v>
      </c>
      <c r="FX8" s="7">
        <f t="shared" si="162"/>
        <v>0</v>
      </c>
      <c r="FY8" s="7">
        <f t="shared" si="163"/>
        <v>9423.2233454704456</v>
      </c>
      <c r="FZ8" s="7">
        <f t="shared" si="164"/>
        <v>16.291524973430668</v>
      </c>
      <c r="GA8" s="7">
        <f t="shared" si="165"/>
        <v>0</v>
      </c>
      <c r="GB8" s="7">
        <f t="shared" si="166"/>
        <v>40142.616497668256</v>
      </c>
      <c r="GC8" s="7">
        <f t="shared" si="126"/>
        <v>3.0374867225000171</v>
      </c>
      <c r="GD8" s="7">
        <f t="shared" si="127"/>
        <v>220128.37626396742</v>
      </c>
      <c r="GE8" s="7">
        <f t="shared" si="128"/>
        <v>739414.82227204251</v>
      </c>
      <c r="GF8" s="7">
        <f t="shared" si="129"/>
        <v>16764.006817752823</v>
      </c>
      <c r="GG8" s="7">
        <f t="shared" si="130"/>
        <v>41559.254180437398</v>
      </c>
      <c r="GH8" s="7">
        <f t="shared" si="131"/>
        <v>0</v>
      </c>
      <c r="GI8" s="7">
        <f t="shared" si="132"/>
        <v>0</v>
      </c>
      <c r="GJ8" s="7">
        <v>791270.57116528181</v>
      </c>
      <c r="GK8" s="7">
        <v>104789.63333333335</v>
      </c>
    </row>
    <row r="9" spans="1:193" x14ac:dyDescent="0.55000000000000004">
      <c r="A9" s="60">
        <f t="shared" si="0"/>
        <v>2029</v>
      </c>
      <c r="B9" s="60">
        <f t="shared" si="1"/>
        <v>66</v>
      </c>
      <c r="C9" s="60">
        <f t="shared" si="2"/>
        <v>66</v>
      </c>
      <c r="D9" s="7">
        <f t="shared" si="3"/>
        <v>5000</v>
      </c>
      <c r="E9" s="7">
        <f t="shared" si="4"/>
        <v>5000</v>
      </c>
      <c r="F9" s="7">
        <f t="shared" si="5"/>
        <v>0</v>
      </c>
      <c r="G9" s="7">
        <f t="shared" si="6"/>
        <v>0</v>
      </c>
      <c r="H9" s="7">
        <f t="shared" si="7"/>
        <v>0</v>
      </c>
      <c r="I9" s="7">
        <f t="shared" si="8"/>
        <v>11430.020595676975</v>
      </c>
      <c r="J9" s="7">
        <f t="shared" si="9"/>
        <v>11430.020595676975</v>
      </c>
      <c r="K9" s="7">
        <f t="shared" si="10"/>
        <v>10000</v>
      </c>
      <c r="L9" s="7">
        <f t="shared" si="11"/>
        <v>0</v>
      </c>
      <c r="M9" s="7">
        <f t="shared" si="12"/>
        <v>10000</v>
      </c>
      <c r="N9" s="7">
        <f t="shared" si="13"/>
        <v>21430.020595676975</v>
      </c>
      <c r="O9" s="7">
        <f t="shared" si="14"/>
        <v>43691.885772686524</v>
      </c>
      <c r="P9" s="7">
        <v>0</v>
      </c>
      <c r="Q9" s="29">
        <v>26215.131463611913</v>
      </c>
      <c r="R9" s="29">
        <v>17476.754309074615</v>
      </c>
      <c r="S9" s="7">
        <v>2.5676622155947513</v>
      </c>
      <c r="T9" s="7">
        <f t="shared" si="15"/>
        <v>0.37922512256919527</v>
      </c>
      <c r="U9" s="7">
        <f t="shared" si="16"/>
        <v>0</v>
      </c>
      <c r="V9" s="7">
        <f t="shared" si="17"/>
        <v>0</v>
      </c>
      <c r="W9" s="7"/>
      <c r="X9" s="7"/>
      <c r="Y9" s="7">
        <f t="shared" si="18"/>
        <v>0</v>
      </c>
      <c r="Z9" s="7">
        <f t="shared" si="18"/>
        <v>0</v>
      </c>
      <c r="AA9" s="7">
        <f t="shared" si="19"/>
        <v>0.89868177545816286</v>
      </c>
      <c r="AB9" s="7"/>
      <c r="AC9" s="7">
        <f t="shared" si="20"/>
        <v>10.835003501977006</v>
      </c>
      <c r="AD9" s="7">
        <f t="shared" si="21"/>
        <v>0</v>
      </c>
      <c r="AE9" s="7">
        <f t="shared" si="22"/>
        <v>659258.99303107243</v>
      </c>
      <c r="AF9" s="9">
        <f t="shared" si="23"/>
        <v>395555.39581864339</v>
      </c>
      <c r="AG9" s="56">
        <f t="shared" si="24"/>
        <v>263703.5972124291</v>
      </c>
      <c r="AH9" s="165">
        <f t="shared" si="25"/>
        <v>0.84</v>
      </c>
      <c r="AI9" s="56">
        <f t="shared" si="133"/>
        <v>659269.8280345744</v>
      </c>
      <c r="AJ9" s="56">
        <f t="shared" si="26"/>
        <v>10.00986842628272</v>
      </c>
      <c r="AK9" s="56">
        <f t="shared" si="27"/>
        <v>0</v>
      </c>
      <c r="AL9" s="56">
        <f t="shared" si="167"/>
        <v>511604.86043402553</v>
      </c>
      <c r="AM9" s="9">
        <f t="shared" si="168"/>
        <v>511614.87030245183</v>
      </c>
      <c r="AN9" s="9">
        <f t="shared" si="28"/>
        <v>0</v>
      </c>
      <c r="AO9" s="9">
        <f t="shared" si="29"/>
        <v>0</v>
      </c>
      <c r="AP9" s="9">
        <f t="shared" si="30"/>
        <v>0</v>
      </c>
      <c r="AQ9" s="9">
        <f t="shared" si="134"/>
        <v>69408.173977423037</v>
      </c>
      <c r="AR9" s="9">
        <f t="shared" si="31"/>
        <v>32000</v>
      </c>
      <c r="AS9" s="9">
        <f t="shared" si="32"/>
        <v>44000</v>
      </c>
      <c r="AT9" s="9">
        <f t="shared" si="33"/>
        <v>43691.885772686524</v>
      </c>
      <c r="AU9" s="9">
        <f t="shared" si="135"/>
        <v>9715.5175063254283</v>
      </c>
      <c r="AV9" s="9">
        <f t="shared" si="136"/>
        <v>63693.163679584548</v>
      </c>
      <c r="AW9" s="7">
        <f t="shared" si="137"/>
        <v>65123.184275261527</v>
      </c>
      <c r="AX9" s="7">
        <f t="shared" si="138"/>
        <v>63408.681185909976</v>
      </c>
      <c r="AY9" s="7">
        <f t="shared" si="34"/>
        <v>1.277906898027358</v>
      </c>
      <c r="AZ9" s="7">
        <f t="shared" si="139"/>
        <v>0</v>
      </c>
      <c r="BA9" s="7">
        <f t="shared" si="35"/>
        <v>0</v>
      </c>
      <c r="BB9" s="7">
        <f t="shared" si="36"/>
        <v>0</v>
      </c>
      <c r="BC9" s="7">
        <f t="shared" si="37"/>
        <v>0.13480226631872441</v>
      </c>
      <c r="BD9" s="7">
        <f t="shared" si="38"/>
        <v>31359.849042899201</v>
      </c>
      <c r="BE9" s="7">
        <f t="shared" si="39"/>
        <v>23341.876920009752</v>
      </c>
      <c r="BF9" s="7">
        <f t="shared" si="140"/>
        <v>23341.876920009752</v>
      </c>
      <c r="BG9" s="7">
        <f t="shared" si="169"/>
        <v>32047.93346123532</v>
      </c>
      <c r="BH9" s="7">
        <f t="shared" si="172"/>
        <v>40065.905584124768</v>
      </c>
      <c r="BI9" s="7">
        <f t="shared" si="141"/>
        <v>32047.93346123532</v>
      </c>
      <c r="BJ9" s="7">
        <f t="shared" si="40"/>
        <v>0.37922512256919527</v>
      </c>
      <c r="BK9" s="7">
        <f t="shared" si="41"/>
        <v>0</v>
      </c>
      <c r="BL9" s="7">
        <f t="shared" si="42"/>
        <v>10000</v>
      </c>
      <c r="BM9" s="7">
        <f t="shared" si="43"/>
        <v>43691.885772686524</v>
      </c>
      <c r="BN9" s="7">
        <f t="shared" si="44"/>
        <v>0.89868177545816286</v>
      </c>
      <c r="BO9" s="7">
        <f t="shared" si="45"/>
        <v>0</v>
      </c>
      <c r="BP9" s="7">
        <f t="shared" si="142"/>
        <v>10200</v>
      </c>
      <c r="BQ9" s="7">
        <f t="shared" si="46"/>
        <v>10200</v>
      </c>
      <c r="BR9" s="7">
        <f t="shared" si="47"/>
        <v>0</v>
      </c>
      <c r="BS9" s="7">
        <f t="shared" si="48"/>
        <v>0</v>
      </c>
      <c r="BT9" s="7">
        <f t="shared" si="49"/>
        <v>43493.163679584548</v>
      </c>
      <c r="BU9" s="157">
        <f t="shared" si="50"/>
        <v>2.3800178839401288E-5</v>
      </c>
      <c r="BV9" s="51">
        <f t="shared" si="51"/>
        <v>0</v>
      </c>
      <c r="BW9" s="51">
        <f t="shared" si="52"/>
        <v>1000000</v>
      </c>
      <c r="BX9" s="51">
        <f t="shared" si="53"/>
        <v>10000000000</v>
      </c>
      <c r="BY9" s="51">
        <f t="shared" si="54"/>
        <v>10000000000</v>
      </c>
      <c r="BZ9" s="51">
        <f t="shared" si="55"/>
        <v>10000000000</v>
      </c>
      <c r="CA9" s="51">
        <f t="shared" si="56"/>
        <v>10000000000</v>
      </c>
      <c r="CB9" s="51">
        <f t="shared" si="57"/>
        <v>10000000000</v>
      </c>
      <c r="CC9" s="51">
        <f t="shared" si="58"/>
        <v>10000000000</v>
      </c>
      <c r="CD9" s="51">
        <f t="shared" si="59"/>
        <v>10000000000</v>
      </c>
      <c r="CE9" s="51">
        <f t="shared" si="60"/>
        <v>10000000000</v>
      </c>
      <c r="CF9" s="51">
        <f t="shared" si="61"/>
        <v>10000000000</v>
      </c>
      <c r="CG9" s="51">
        <f t="shared" si="62"/>
        <v>10000000000</v>
      </c>
      <c r="CH9" s="51">
        <f t="shared" si="63"/>
        <v>0</v>
      </c>
      <c r="CI9" s="51">
        <f t="shared" si="64"/>
        <v>1000000</v>
      </c>
      <c r="CJ9" s="51">
        <f t="shared" si="65"/>
        <v>10000000000</v>
      </c>
      <c r="CK9" s="51">
        <f t="shared" si="66"/>
        <v>10000000000</v>
      </c>
      <c r="CL9" s="51">
        <f t="shared" si="67"/>
        <v>10000000000</v>
      </c>
      <c r="CM9" s="51">
        <f t="shared" si="68"/>
        <v>10000000000</v>
      </c>
      <c r="CN9" s="51">
        <f t="shared" si="69"/>
        <v>10000000000</v>
      </c>
      <c r="CO9" s="51">
        <f t="shared" si="70"/>
        <v>10000000000</v>
      </c>
      <c r="CP9" s="51">
        <f t="shared" si="71"/>
        <v>10000000000</v>
      </c>
      <c r="CQ9" s="51">
        <f t="shared" si="72"/>
        <v>10000000000</v>
      </c>
      <c r="CR9" s="51">
        <f t="shared" si="73"/>
        <v>10000000000</v>
      </c>
      <c r="CS9" s="51">
        <f t="shared" si="74"/>
        <v>10000000000</v>
      </c>
      <c r="CT9" s="7">
        <f t="shared" si="75"/>
        <v>50000</v>
      </c>
      <c r="CU9" s="7">
        <f t="shared" si="76"/>
        <v>0</v>
      </c>
      <c r="CV9" s="7">
        <f t="shared" si="76"/>
        <v>0</v>
      </c>
      <c r="CW9" s="7">
        <f t="shared" si="76"/>
        <v>0</v>
      </c>
      <c r="CX9" s="7">
        <f t="shared" si="76"/>
        <v>0</v>
      </c>
      <c r="CY9" s="7">
        <f t="shared" si="76"/>
        <v>0</v>
      </c>
      <c r="CZ9" s="7">
        <f t="shared" si="76"/>
        <v>0</v>
      </c>
      <c r="DA9" s="7">
        <f t="shared" si="76"/>
        <v>0</v>
      </c>
      <c r="DB9" s="7">
        <f t="shared" si="76"/>
        <v>0</v>
      </c>
      <c r="DC9" s="7">
        <f t="shared" si="76"/>
        <v>0</v>
      </c>
      <c r="DD9" s="7">
        <f t="shared" si="76"/>
        <v>0</v>
      </c>
      <c r="DE9" s="37">
        <f t="shared" si="77"/>
        <v>0.05</v>
      </c>
      <c r="DF9" s="37">
        <f t="shared" si="78"/>
        <v>0.09</v>
      </c>
      <c r="DG9" s="7">
        <f t="shared" si="79"/>
        <v>0</v>
      </c>
      <c r="DH9" s="7">
        <f t="shared" si="80"/>
        <v>0</v>
      </c>
      <c r="DI9" s="7">
        <f t="shared" si="81"/>
        <v>0</v>
      </c>
      <c r="DJ9" s="7">
        <f t="shared" si="82"/>
        <v>0</v>
      </c>
      <c r="DK9" s="7">
        <f t="shared" si="83"/>
        <v>0</v>
      </c>
      <c r="DL9" s="7">
        <f t="shared" si="84"/>
        <v>0</v>
      </c>
      <c r="DM9" s="7">
        <f t="shared" si="85"/>
        <v>0</v>
      </c>
      <c r="DN9" s="7">
        <f t="shared" si="86"/>
        <v>0</v>
      </c>
      <c r="DO9" s="7">
        <f t="shared" si="87"/>
        <v>0</v>
      </c>
      <c r="DP9" s="7">
        <f t="shared" si="88"/>
        <v>0</v>
      </c>
      <c r="DQ9" s="7">
        <f t="shared" si="89"/>
        <v>2174.6581839792275</v>
      </c>
      <c r="DR9" s="37">
        <f t="shared" si="90"/>
        <v>0.05</v>
      </c>
      <c r="DS9" s="7">
        <f t="shared" si="91"/>
        <v>5.175725369327324E-2</v>
      </c>
      <c r="DT9" s="7" t="b">
        <f t="shared" si="92"/>
        <v>1</v>
      </c>
      <c r="DU9" s="7" t="b">
        <f t="shared" si="93"/>
        <v>0</v>
      </c>
      <c r="DV9" s="7" t="b">
        <f t="shared" si="94"/>
        <v>0</v>
      </c>
      <c r="DW9" s="7" t="b">
        <f t="shared" si="95"/>
        <v>1</v>
      </c>
      <c r="DX9" s="7" t="b">
        <f t="shared" si="96"/>
        <v>0</v>
      </c>
      <c r="DY9" s="207">
        <f t="shared" si="97"/>
        <v>0.9238454260265142</v>
      </c>
      <c r="DZ9" s="7">
        <f t="shared" si="98"/>
        <v>3347.4311264473745</v>
      </c>
      <c r="EA9" s="36">
        <f t="shared" si="99"/>
        <v>0.12</v>
      </c>
      <c r="EB9" s="51">
        <f t="shared" si="170"/>
        <v>3347.5659287136932</v>
      </c>
      <c r="EC9" s="7">
        <f t="shared" si="100"/>
        <v>24916.044445043201</v>
      </c>
      <c r="ED9" s="7">
        <f t="shared" si="101"/>
        <v>101275.1289296368</v>
      </c>
      <c r="EE9" s="7">
        <f t="shared" si="102"/>
        <v>215921.15239982482</v>
      </c>
      <c r="EF9" s="7">
        <f t="shared" si="103"/>
        <v>412296.09751948644</v>
      </c>
      <c r="EG9" s="7">
        <f t="shared" si="104"/>
        <v>523505.42520415125</v>
      </c>
      <c r="EH9" s="7">
        <f t="shared" si="105"/>
        <v>2491.6044445043203</v>
      </c>
      <c r="EI9" s="7">
        <f t="shared" si="106"/>
        <v>11654.694582655553</v>
      </c>
      <c r="EJ9" s="7">
        <f t="shared" si="107"/>
        <v>36876.819746096917</v>
      </c>
      <c r="EK9" s="7">
        <f t="shared" si="108"/>
        <v>84006.80657481571</v>
      </c>
      <c r="EL9" s="7">
        <f t="shared" si="109"/>
        <v>119593.79143390845</v>
      </c>
      <c r="EM9" s="7">
        <f t="shared" si="110"/>
        <v>221237.29119305601</v>
      </c>
      <c r="EN9" s="7">
        <f t="shared" si="111"/>
        <v>277083.59770780802</v>
      </c>
      <c r="EO9" s="7">
        <f t="shared" si="112"/>
        <v>345817.51341827202</v>
      </c>
      <c r="EP9" s="7">
        <f t="shared" si="113"/>
        <v>414551.42912873602</v>
      </c>
      <c r="EQ9" s="7">
        <f t="shared" si="114"/>
        <v>805475.57473200001</v>
      </c>
      <c r="ER9" s="7">
        <f t="shared" si="115"/>
        <v>4484.888000107776</v>
      </c>
      <c r="ES9" s="10">
        <f t="shared" si="116"/>
        <v>1</v>
      </c>
      <c r="ET9" s="16">
        <f t="shared" si="117"/>
        <v>1</v>
      </c>
      <c r="EU9" s="16">
        <f t="shared" si="118"/>
        <v>24</v>
      </c>
      <c r="EV9" s="7">
        <f t="shared" si="119"/>
        <v>0</v>
      </c>
      <c r="EW9" s="37">
        <f t="shared" si="143"/>
        <v>6.6603902987954766E-2</v>
      </c>
      <c r="EX9" s="7">
        <f t="shared" si="120"/>
        <v>5522.2241126929202</v>
      </c>
      <c r="EY9" s="7">
        <f t="shared" si="171"/>
        <v>5101.6814880046804</v>
      </c>
      <c r="EZ9" s="37">
        <f t="shared" si="121"/>
        <v>0.16999999999999998</v>
      </c>
      <c r="FA9" s="37">
        <f t="shared" si="122"/>
        <v>8.4796592398671433E-2</v>
      </c>
      <c r="FB9" s="7">
        <f t="shared" si="123"/>
        <v>59602.249917886176</v>
      </c>
      <c r="FC9" s="7">
        <f t="shared" ref="FC9:FC38" si="173">FB9 * DY9</f>
        <v>55063.265967528328</v>
      </c>
      <c r="FD9" s="7">
        <f t="shared" si="144"/>
        <v>1678.9052938866023</v>
      </c>
      <c r="FE9" s="7">
        <f t="shared" si="124"/>
        <v>55000</v>
      </c>
      <c r="FF9" s="7">
        <f t="shared" si="145"/>
        <v>10559.572246705027</v>
      </c>
      <c r="FG9" s="7">
        <f t="shared" si="146"/>
        <v>0</v>
      </c>
      <c r="FH9" s="7">
        <f t="shared" si="147"/>
        <v>9238.4542602651418</v>
      </c>
      <c r="FI9" s="7">
        <f t="shared" si="125"/>
        <v>0.26225457460624091</v>
      </c>
      <c r="FJ9" s="7">
        <f t="shared" si="148"/>
        <v>40364.548825569378</v>
      </c>
      <c r="FK9" s="7">
        <f t="shared" si="149"/>
        <v>0</v>
      </c>
      <c r="FL9" s="7">
        <f t="shared" si="150"/>
        <v>2.3721229934583166</v>
      </c>
      <c r="FM9" s="7">
        <f t="shared" si="151"/>
        <v>0</v>
      </c>
      <c r="FN9" s="7">
        <f t="shared" si="152"/>
        <v>0</v>
      </c>
      <c r="FO9" s="7">
        <f t="shared" si="153"/>
        <v>0.12453645715656159</v>
      </c>
      <c r="FP9" s="7">
        <f t="shared" si="154"/>
        <v>3092.5089351071892</v>
      </c>
      <c r="FQ9" s="7">
        <f t="shared" si="155"/>
        <v>2009.0480164403352</v>
      </c>
      <c r="FR9" s="7">
        <f t="shared" si="156"/>
        <v>0</v>
      </c>
      <c r="FS9" s="7">
        <f t="shared" si="157"/>
        <v>8975.6364096992729</v>
      </c>
      <c r="FT9" s="7">
        <f t="shared" si="158"/>
        <v>0.35034539491989525</v>
      </c>
      <c r="FU9" s="7">
        <f t="shared" si="159"/>
        <v>0.83024304771041069</v>
      </c>
      <c r="FV9" s="7">
        <f t="shared" si="160"/>
        <v>40364.548825569378</v>
      </c>
      <c r="FW9" s="7">
        <f t="shared" si="161"/>
        <v>0.35034539491989525</v>
      </c>
      <c r="FX9" s="7">
        <f t="shared" si="162"/>
        <v>0</v>
      </c>
      <c r="FY9" s="7">
        <f t="shared" si="163"/>
        <v>9238.4542602651418</v>
      </c>
      <c r="FZ9" s="7">
        <f t="shared" si="164"/>
        <v>0.83024304771041069</v>
      </c>
      <c r="GA9" s="7">
        <f t="shared" si="165"/>
        <v>0</v>
      </c>
      <c r="GB9" s="7">
        <f t="shared" si="166"/>
        <v>40364.548825569378</v>
      </c>
      <c r="GC9" s="7">
        <f t="shared" si="126"/>
        <v>0.24228268920450488</v>
      </c>
      <c r="GD9" s="7">
        <f t="shared" si="127"/>
        <v>275191.64223149576</v>
      </c>
      <c r="GE9" s="7">
        <f t="shared" si="128"/>
        <v>786806.51253394759</v>
      </c>
      <c r="GF9" s="7">
        <f t="shared" si="129"/>
        <v>21865.688305757503</v>
      </c>
      <c r="GG9" s="7">
        <f t="shared" si="130"/>
        <v>52118.826427142427</v>
      </c>
      <c r="GH9" s="7">
        <f t="shared" si="131"/>
        <v>0</v>
      </c>
      <c r="GI9" s="7">
        <f t="shared" si="132"/>
        <v>0</v>
      </c>
      <c r="GJ9" s="7">
        <v>849995.50323725713</v>
      </c>
      <c r="GK9" s="7">
        <v>131544.43333333335</v>
      </c>
    </row>
    <row r="10" spans="1:193" x14ac:dyDescent="0.55000000000000004">
      <c r="A10" s="60">
        <f t="shared" si="0"/>
        <v>2030</v>
      </c>
      <c r="B10" s="60">
        <f t="shared" si="1"/>
        <v>67</v>
      </c>
      <c r="C10" s="60">
        <f t="shared" si="2"/>
        <v>67</v>
      </c>
      <c r="D10" s="7">
        <f t="shared" si="3"/>
        <v>5000</v>
      </c>
      <c r="E10" s="7">
        <f t="shared" si="4"/>
        <v>5000</v>
      </c>
      <c r="F10" s="7">
        <f t="shared" si="5"/>
        <v>0</v>
      </c>
      <c r="G10" s="7">
        <f t="shared" si="6"/>
        <v>0</v>
      </c>
      <c r="H10" s="7">
        <f t="shared" si="7"/>
        <v>0</v>
      </c>
      <c r="I10" s="7">
        <f t="shared" si="8"/>
        <v>11635.760966399161</v>
      </c>
      <c r="J10" s="7">
        <f t="shared" si="9"/>
        <v>11635.760966399161</v>
      </c>
      <c r="K10" s="7">
        <f t="shared" si="10"/>
        <v>10000</v>
      </c>
      <c r="L10" s="7">
        <f t="shared" si="11"/>
        <v>0</v>
      </c>
      <c r="M10" s="7">
        <f t="shared" si="12"/>
        <v>10000</v>
      </c>
      <c r="N10" s="7">
        <f t="shared" si="13"/>
        <v>21635.760966399161</v>
      </c>
      <c r="O10" s="7">
        <f t="shared" si="14"/>
        <v>44817.390155955211</v>
      </c>
      <c r="P10" s="7">
        <v>0</v>
      </c>
      <c r="Q10" s="29">
        <v>26890.43409357312</v>
      </c>
      <c r="R10" s="29">
        <v>17926.956062382091</v>
      </c>
      <c r="S10" s="7">
        <v>0.83500350197700612</v>
      </c>
      <c r="T10" s="7">
        <f t="shared" si="15"/>
        <v>0.37698132953506031</v>
      </c>
      <c r="U10" s="7">
        <f t="shared" si="16"/>
        <v>0</v>
      </c>
      <c r="V10" s="7">
        <f t="shared" si="17"/>
        <v>0</v>
      </c>
      <c r="W10" s="7"/>
      <c r="X10" s="7"/>
      <c r="Y10" s="7">
        <f t="shared" si="18"/>
        <v>0</v>
      </c>
      <c r="Z10" s="7">
        <f t="shared" si="18"/>
        <v>0</v>
      </c>
      <c r="AA10" s="7">
        <f t="shared" si="19"/>
        <v>0.29225122569195211</v>
      </c>
      <c r="AB10" s="7"/>
      <c r="AC10" s="7">
        <f t="shared" si="20"/>
        <v>10.77089512957315</v>
      </c>
      <c r="AD10" s="7">
        <f t="shared" si="21"/>
        <v>0</v>
      </c>
      <c r="AE10" s="7">
        <f t="shared" si="22"/>
        <v>661568.52492364636</v>
      </c>
      <c r="AF10" s="9">
        <f t="shared" si="23"/>
        <v>396941.11495418771</v>
      </c>
      <c r="AG10" s="56">
        <f t="shared" si="24"/>
        <v>264627.40996945865</v>
      </c>
      <c r="AH10" s="165">
        <f t="shared" si="25"/>
        <v>0.84</v>
      </c>
      <c r="AI10" s="56">
        <f t="shared" si="133"/>
        <v>661579.29581877589</v>
      </c>
      <c r="AJ10" s="56">
        <f t="shared" si="26"/>
        <v>9.7555315683013859</v>
      </c>
      <c r="AK10" s="56">
        <f t="shared" si="27"/>
        <v>0</v>
      </c>
      <c r="AL10" s="56">
        <f t="shared" si="167"/>
        <v>503330.51650314481</v>
      </c>
      <c r="AM10" s="9">
        <f t="shared" si="168"/>
        <v>503340.27203471313</v>
      </c>
      <c r="AN10" s="9">
        <f t="shared" si="28"/>
        <v>0</v>
      </c>
      <c r="AO10" s="9">
        <f t="shared" si="29"/>
        <v>0</v>
      </c>
      <c r="AP10" s="9">
        <f t="shared" si="30"/>
        <v>0</v>
      </c>
      <c r="AQ10" s="9">
        <f t="shared" si="134"/>
        <v>70635.939871710027</v>
      </c>
      <c r="AR10" s="9">
        <f t="shared" si="31"/>
        <v>32000</v>
      </c>
      <c r="AS10" s="9">
        <f t="shared" si="32"/>
        <v>44000</v>
      </c>
      <c r="AT10" s="9">
        <f t="shared" si="33"/>
        <v>44817.390155955211</v>
      </c>
      <c r="AU10" s="9">
        <f t="shared" si="135"/>
        <v>9890.3968214392862</v>
      </c>
      <c r="AV10" s="9">
        <f t="shared" si="136"/>
        <v>64818.059388510439</v>
      </c>
      <c r="AW10" s="7">
        <f t="shared" si="137"/>
        <v>66453.820354909607</v>
      </c>
      <c r="AX10" s="7">
        <f t="shared" si="138"/>
        <v>64708.456209949727</v>
      </c>
      <c r="AY10" s="7">
        <f t="shared" si="34"/>
        <v>0.66923255522701242</v>
      </c>
      <c r="AZ10" s="7">
        <f t="shared" si="139"/>
        <v>0</v>
      </c>
      <c r="BA10" s="7">
        <f t="shared" si="35"/>
        <v>0</v>
      </c>
      <c r="BB10" s="7">
        <f t="shared" si="36"/>
        <v>0</v>
      </c>
      <c r="BC10" s="7">
        <f t="shared" si="37"/>
        <v>4.3837683853792817E-2</v>
      </c>
      <c r="BD10" s="7">
        <f t="shared" si="38"/>
        <v>31924.326325671391</v>
      </c>
      <c r="BE10" s="7">
        <f t="shared" si="39"/>
        <v>23398.121705456047</v>
      </c>
      <c r="BF10" s="7">
        <f t="shared" si="140"/>
        <v>23398.121705456047</v>
      </c>
      <c r="BG10" s="7">
        <f t="shared" si="169"/>
        <v>32783.837633052644</v>
      </c>
      <c r="BH10" s="7">
        <f t="shared" si="172"/>
        <v>41310.042253267988</v>
      </c>
      <c r="BI10" s="7">
        <f t="shared" si="141"/>
        <v>32783.837633052644</v>
      </c>
      <c r="BJ10" s="7">
        <f t="shared" si="40"/>
        <v>0.37698132953506031</v>
      </c>
      <c r="BK10" s="7">
        <f t="shared" si="41"/>
        <v>0</v>
      </c>
      <c r="BL10" s="7">
        <f t="shared" si="42"/>
        <v>10000</v>
      </c>
      <c r="BM10" s="7">
        <f t="shared" si="43"/>
        <v>44817.390155955211</v>
      </c>
      <c r="BN10" s="7">
        <f t="shared" si="44"/>
        <v>0.29225122569195211</v>
      </c>
      <c r="BO10" s="7">
        <f t="shared" si="45"/>
        <v>0</v>
      </c>
      <c r="BP10" s="7">
        <f t="shared" si="142"/>
        <v>10200</v>
      </c>
      <c r="BQ10" s="7">
        <f t="shared" si="46"/>
        <v>10200</v>
      </c>
      <c r="BR10" s="7">
        <f t="shared" si="47"/>
        <v>0</v>
      </c>
      <c r="BS10" s="7">
        <f t="shared" si="48"/>
        <v>0</v>
      </c>
      <c r="BT10" s="7">
        <f t="shared" si="49"/>
        <v>44618.059388510439</v>
      </c>
      <c r="BU10" s="157">
        <f t="shared" si="50"/>
        <v>1.2208249666117875E-5</v>
      </c>
      <c r="BV10" s="51">
        <f t="shared" si="51"/>
        <v>0</v>
      </c>
      <c r="BW10" s="51">
        <f t="shared" si="52"/>
        <v>1000000</v>
      </c>
      <c r="BX10" s="51">
        <f t="shared" si="53"/>
        <v>10000000000</v>
      </c>
      <c r="BY10" s="51">
        <f t="shared" si="54"/>
        <v>10000000000</v>
      </c>
      <c r="BZ10" s="51">
        <f t="shared" si="55"/>
        <v>10000000000</v>
      </c>
      <c r="CA10" s="51">
        <f t="shared" si="56"/>
        <v>10000000000</v>
      </c>
      <c r="CB10" s="51">
        <f t="shared" si="57"/>
        <v>10000000000</v>
      </c>
      <c r="CC10" s="51">
        <f t="shared" si="58"/>
        <v>10000000000</v>
      </c>
      <c r="CD10" s="51">
        <f t="shared" si="59"/>
        <v>10000000000</v>
      </c>
      <c r="CE10" s="51">
        <f t="shared" si="60"/>
        <v>10000000000</v>
      </c>
      <c r="CF10" s="51">
        <f t="shared" si="61"/>
        <v>10000000000</v>
      </c>
      <c r="CG10" s="51">
        <f t="shared" si="62"/>
        <v>10000000000</v>
      </c>
      <c r="CH10" s="51">
        <f t="shared" si="63"/>
        <v>0</v>
      </c>
      <c r="CI10" s="51">
        <f t="shared" si="64"/>
        <v>1000000</v>
      </c>
      <c r="CJ10" s="51">
        <f t="shared" si="65"/>
        <v>10000000000</v>
      </c>
      <c r="CK10" s="51">
        <f t="shared" si="66"/>
        <v>10000000000</v>
      </c>
      <c r="CL10" s="51">
        <f t="shared" si="67"/>
        <v>10000000000</v>
      </c>
      <c r="CM10" s="51">
        <f t="shared" si="68"/>
        <v>10000000000</v>
      </c>
      <c r="CN10" s="51">
        <f t="shared" si="69"/>
        <v>10000000000</v>
      </c>
      <c r="CO10" s="51">
        <f t="shared" si="70"/>
        <v>10000000000</v>
      </c>
      <c r="CP10" s="51">
        <f t="shared" si="71"/>
        <v>10000000000</v>
      </c>
      <c r="CQ10" s="51">
        <f t="shared" si="72"/>
        <v>10000000000</v>
      </c>
      <c r="CR10" s="51">
        <f t="shared" si="73"/>
        <v>10000000000</v>
      </c>
      <c r="CS10" s="51">
        <f t="shared" si="74"/>
        <v>10000000000</v>
      </c>
      <c r="CT10" s="7">
        <f t="shared" si="75"/>
        <v>50000</v>
      </c>
      <c r="CU10" s="7">
        <f t="shared" si="76"/>
        <v>0</v>
      </c>
      <c r="CV10" s="7">
        <f t="shared" si="76"/>
        <v>0</v>
      </c>
      <c r="CW10" s="7">
        <f t="shared" si="76"/>
        <v>0</v>
      </c>
      <c r="CX10" s="7">
        <f t="shared" si="76"/>
        <v>0</v>
      </c>
      <c r="CY10" s="7">
        <f t="shared" si="76"/>
        <v>0</v>
      </c>
      <c r="CZ10" s="7">
        <f t="shared" si="76"/>
        <v>0</v>
      </c>
      <c r="DA10" s="7">
        <f t="shared" si="76"/>
        <v>0</v>
      </c>
      <c r="DB10" s="7">
        <f t="shared" si="76"/>
        <v>0</v>
      </c>
      <c r="DC10" s="7">
        <f t="shared" si="76"/>
        <v>0</v>
      </c>
      <c r="DD10" s="7">
        <f t="shared" si="76"/>
        <v>0</v>
      </c>
      <c r="DE10" s="37">
        <f t="shared" si="77"/>
        <v>0.05</v>
      </c>
      <c r="DF10" s="37">
        <f t="shared" si="78"/>
        <v>0.09</v>
      </c>
      <c r="DG10" s="7">
        <f t="shared" si="79"/>
        <v>0</v>
      </c>
      <c r="DH10" s="7">
        <f t="shared" si="80"/>
        <v>0</v>
      </c>
      <c r="DI10" s="7">
        <f t="shared" si="81"/>
        <v>0</v>
      </c>
      <c r="DJ10" s="7">
        <f t="shared" si="82"/>
        <v>0</v>
      </c>
      <c r="DK10" s="7">
        <f t="shared" si="83"/>
        <v>0</v>
      </c>
      <c r="DL10" s="7">
        <f t="shared" si="84"/>
        <v>0</v>
      </c>
      <c r="DM10" s="7">
        <f t="shared" si="85"/>
        <v>0</v>
      </c>
      <c r="DN10" s="7">
        <f t="shared" si="86"/>
        <v>0</v>
      </c>
      <c r="DO10" s="7">
        <f t="shared" si="87"/>
        <v>0</v>
      </c>
      <c r="DP10" s="7">
        <f t="shared" si="88"/>
        <v>0</v>
      </c>
      <c r="DQ10" s="7">
        <f t="shared" si="89"/>
        <v>2230.9029694255219</v>
      </c>
      <c r="DR10" s="37">
        <f t="shared" si="90"/>
        <v>0.05</v>
      </c>
      <c r="DS10" s="7">
        <f t="shared" si="91"/>
        <v>2.7235420431630505E-2</v>
      </c>
      <c r="DT10" s="7" t="b">
        <f t="shared" si="92"/>
        <v>1</v>
      </c>
      <c r="DU10" s="7" t="b">
        <f t="shared" si="93"/>
        <v>0</v>
      </c>
      <c r="DV10" s="7" t="b">
        <f t="shared" si="94"/>
        <v>0</v>
      </c>
      <c r="DW10" s="7" t="b">
        <f t="shared" si="95"/>
        <v>1</v>
      </c>
      <c r="DX10" s="7" t="b">
        <f t="shared" si="96"/>
        <v>0</v>
      </c>
      <c r="DY10" s="207">
        <f t="shared" si="97"/>
        <v>0.90573080982991594</v>
      </c>
      <c r="DZ10" s="7">
        <f t="shared" si="98"/>
        <v>3426.7698510652381</v>
      </c>
      <c r="EA10" s="36">
        <f t="shared" si="99"/>
        <v>0.12</v>
      </c>
      <c r="EB10" s="51">
        <f t="shared" si="170"/>
        <v>3426.8136887490919</v>
      </c>
      <c r="EC10" s="7">
        <f t="shared" si="100"/>
        <v>25364.533245053979</v>
      </c>
      <c r="ED10" s="7">
        <f t="shared" si="101"/>
        <v>103098.08125037028</v>
      </c>
      <c r="EE10" s="7">
        <f t="shared" si="102"/>
        <v>219807.73314302167</v>
      </c>
      <c r="EF10" s="7">
        <f t="shared" si="103"/>
        <v>419717.42727483722</v>
      </c>
      <c r="EG10" s="7">
        <f t="shared" si="104"/>
        <v>532928.52285782597</v>
      </c>
      <c r="EH10" s="7">
        <f t="shared" si="105"/>
        <v>2536.4533245053981</v>
      </c>
      <c r="EI10" s="7">
        <f t="shared" si="106"/>
        <v>11864.479085143354</v>
      </c>
      <c r="EJ10" s="7">
        <f t="shared" si="107"/>
        <v>37540.602501526664</v>
      </c>
      <c r="EK10" s="7">
        <f t="shared" si="108"/>
        <v>85518.929093162384</v>
      </c>
      <c r="EL10" s="7">
        <f t="shared" si="109"/>
        <v>121746.47967971879</v>
      </c>
      <c r="EM10" s="7">
        <f t="shared" si="110"/>
        <v>225219.56243453102</v>
      </c>
      <c r="EN10" s="7">
        <f t="shared" si="111"/>
        <v>282071.10246654856</v>
      </c>
      <c r="EO10" s="7">
        <f t="shared" si="112"/>
        <v>352042.22865980095</v>
      </c>
      <c r="EP10" s="7">
        <f t="shared" si="113"/>
        <v>422013.35485305329</v>
      </c>
      <c r="EQ10" s="7">
        <f t="shared" si="114"/>
        <v>819974.13507717615</v>
      </c>
      <c r="ER10" s="7">
        <f t="shared" si="115"/>
        <v>4565.6159841097169</v>
      </c>
      <c r="ES10" s="10">
        <f t="shared" si="116"/>
        <v>1</v>
      </c>
      <c r="ET10" s="16">
        <f t="shared" si="117"/>
        <v>1</v>
      </c>
      <c r="EU10" s="16">
        <f t="shared" si="118"/>
        <v>24</v>
      </c>
      <c r="EV10" s="7">
        <f t="shared" si="119"/>
        <v>0</v>
      </c>
      <c r="EW10" s="37">
        <f t="shared" si="143"/>
        <v>6.7981611251754059E-2</v>
      </c>
      <c r="EX10" s="7">
        <f t="shared" si="120"/>
        <v>5657.7166581746133</v>
      </c>
      <c r="EY10" s="7">
        <f t="shared" si="171"/>
        <v>5124.368290596698</v>
      </c>
      <c r="EZ10" s="37">
        <f t="shared" si="121"/>
        <v>0.16999999999999998</v>
      </c>
      <c r="FA10" s="37">
        <f t="shared" si="122"/>
        <v>8.5137568133155817E-2</v>
      </c>
      <c r="FB10" s="7">
        <f t="shared" si="123"/>
        <v>60796.269467681748</v>
      </c>
      <c r="FC10" s="7">
        <f t="shared" si="173"/>
        <v>55065.054379601184</v>
      </c>
      <c r="FD10" s="7">
        <f t="shared" si="144"/>
        <v>1668.4223155432089</v>
      </c>
      <c r="FE10" s="7">
        <f t="shared" si="124"/>
        <v>55000</v>
      </c>
      <c r="FF10" s="7">
        <f t="shared" si="145"/>
        <v>10538.867203084037</v>
      </c>
      <c r="FG10" s="7">
        <f t="shared" si="146"/>
        <v>0</v>
      </c>
      <c r="FH10" s="7">
        <f t="shared" si="147"/>
        <v>9057.3080982991596</v>
      </c>
      <c r="FI10" s="7">
        <f t="shared" si="125"/>
        <v>0.14396363476176385</v>
      </c>
      <c r="FJ10" s="7">
        <f t="shared" si="148"/>
        <v>40592.491080416614</v>
      </c>
      <c r="FK10" s="7">
        <f t="shared" si="149"/>
        <v>0</v>
      </c>
      <c r="FL10" s="7">
        <f t="shared" si="150"/>
        <v>0.75628839805644954</v>
      </c>
      <c r="FM10" s="7">
        <f t="shared" si="151"/>
        <v>0</v>
      </c>
      <c r="FN10" s="7">
        <f t="shared" si="152"/>
        <v>0</v>
      </c>
      <c r="FO10" s="7">
        <f t="shared" si="153"/>
        <v>3.9705140897963599E-2</v>
      </c>
      <c r="FP10" s="7">
        <f t="shared" si="154"/>
        <v>3103.7310323060583</v>
      </c>
      <c r="FQ10" s="7">
        <f t="shared" si="155"/>
        <v>2020.5975531497422</v>
      </c>
      <c r="FR10" s="7">
        <f t="shared" si="156"/>
        <v>0</v>
      </c>
      <c r="FS10" s="7">
        <f t="shared" si="157"/>
        <v>8958.037122621432</v>
      </c>
      <c r="FT10" s="7">
        <f t="shared" si="158"/>
        <v>0.34144360489054859</v>
      </c>
      <c r="FU10" s="7">
        <f t="shared" si="159"/>
        <v>0.2647009393197573</v>
      </c>
      <c r="FV10" s="7">
        <f t="shared" si="160"/>
        <v>40592.491080416614</v>
      </c>
      <c r="FW10" s="7">
        <f t="shared" si="161"/>
        <v>0.34144360489054859</v>
      </c>
      <c r="FX10" s="7">
        <f t="shared" si="162"/>
        <v>0</v>
      </c>
      <c r="FY10" s="7">
        <f t="shared" si="163"/>
        <v>9057.3080982991596</v>
      </c>
      <c r="FZ10" s="7">
        <f t="shared" si="164"/>
        <v>0.2647009393197573</v>
      </c>
      <c r="GA10" s="7">
        <f t="shared" si="165"/>
        <v>0</v>
      </c>
      <c r="GB10" s="7">
        <f t="shared" si="166"/>
        <v>40592.491080416614</v>
      </c>
      <c r="GC10" s="7">
        <f t="shared" si="126"/>
        <v>0.1303922994988306</v>
      </c>
      <c r="GD10" s="7">
        <f t="shared" si="127"/>
        <v>330256.69661109697</v>
      </c>
      <c r="GE10" s="7">
        <f t="shared" si="128"/>
        <v>833596.96864581015</v>
      </c>
      <c r="GF10" s="7">
        <f t="shared" si="129"/>
        <v>26990.056596354203</v>
      </c>
      <c r="GG10" s="7">
        <f t="shared" si="130"/>
        <v>62657.693630226466</v>
      </c>
      <c r="GH10" s="7">
        <f t="shared" si="131"/>
        <v>0</v>
      </c>
      <c r="GI10" s="7">
        <f t="shared" si="132"/>
        <v>0</v>
      </c>
      <c r="GJ10" s="7">
        <v>908617.92339428118</v>
      </c>
      <c r="GK10" s="7">
        <v>158299.23333333334</v>
      </c>
    </row>
    <row r="11" spans="1:193" x14ac:dyDescent="0.55000000000000004">
      <c r="A11" s="60">
        <f t="shared" si="0"/>
        <v>2031</v>
      </c>
      <c r="B11" s="60">
        <f t="shared" si="1"/>
        <v>68</v>
      </c>
      <c r="C11" s="60">
        <f t="shared" si="2"/>
        <v>68</v>
      </c>
      <c r="D11" s="7">
        <f t="shared" si="3"/>
        <v>5000</v>
      </c>
      <c r="E11" s="7">
        <f t="shared" si="4"/>
        <v>5000</v>
      </c>
      <c r="F11" s="7">
        <f t="shared" si="5"/>
        <v>0</v>
      </c>
      <c r="G11" s="7">
        <f t="shared" si="6"/>
        <v>0</v>
      </c>
      <c r="H11" s="7">
        <f t="shared" si="7"/>
        <v>0</v>
      </c>
      <c r="I11" s="7">
        <f t="shared" si="8"/>
        <v>11845.204663794344</v>
      </c>
      <c r="J11" s="7">
        <f t="shared" si="9"/>
        <v>11845.204663794344</v>
      </c>
      <c r="K11" s="7">
        <f t="shared" si="10"/>
        <v>10000</v>
      </c>
      <c r="L11" s="7">
        <f t="shared" si="11"/>
        <v>0</v>
      </c>
      <c r="M11" s="7">
        <f t="shared" si="12"/>
        <v>10000</v>
      </c>
      <c r="N11" s="7">
        <f t="shared" si="13"/>
        <v>21845.204663794342</v>
      </c>
      <c r="O11" s="7">
        <f t="shared" si="14"/>
        <v>45954.820046253932</v>
      </c>
      <c r="P11" s="7">
        <v>0</v>
      </c>
      <c r="Q11" s="29">
        <v>27572.89202775235</v>
      </c>
      <c r="R11" s="29">
        <v>18381.928018501581</v>
      </c>
      <c r="S11" s="7">
        <v>0.77089512957314987</v>
      </c>
      <c r="T11" s="7">
        <f t="shared" si="15"/>
        <v>0.37689830919279727</v>
      </c>
      <c r="U11" s="7">
        <f t="shared" si="16"/>
        <v>0</v>
      </c>
      <c r="V11" s="7">
        <f t="shared" si="17"/>
        <v>0</v>
      </c>
      <c r="W11" s="7"/>
      <c r="X11" s="7"/>
      <c r="Y11" s="7">
        <f t="shared" si="18"/>
        <v>0</v>
      </c>
      <c r="Z11" s="7">
        <f t="shared" si="18"/>
        <v>0</v>
      </c>
      <c r="AA11" s="7">
        <f t="shared" si="19"/>
        <v>0.26981329535060244</v>
      </c>
      <c r="AB11" s="7"/>
      <c r="AC11" s="7">
        <f t="shared" si="20"/>
        <v>10.768523119794207</v>
      </c>
      <c r="AD11" s="7">
        <f t="shared" si="21"/>
        <v>0</v>
      </c>
      <c r="AE11" s="7">
        <f t="shared" si="22"/>
        <v>662869.44738003088</v>
      </c>
      <c r="AF11" s="9">
        <f t="shared" si="23"/>
        <v>397721.66842801846</v>
      </c>
      <c r="AG11" s="56">
        <f t="shared" si="24"/>
        <v>265147.77895201242</v>
      </c>
      <c r="AH11" s="165">
        <f t="shared" si="25"/>
        <v>0.84</v>
      </c>
      <c r="AI11" s="56">
        <f t="shared" si="133"/>
        <v>662880.21590315062</v>
      </c>
      <c r="AJ11" s="56">
        <f t="shared" si="26"/>
        <v>9.5621403587876266</v>
      </c>
      <c r="AK11" s="56">
        <f t="shared" si="27"/>
        <v>0</v>
      </c>
      <c r="AL11" s="56">
        <f t="shared" si="167"/>
        <v>494431.64349519636</v>
      </c>
      <c r="AM11" s="9">
        <f t="shared" si="168"/>
        <v>494441.20563555515</v>
      </c>
      <c r="AN11" s="9">
        <f t="shared" si="28"/>
        <v>0</v>
      </c>
      <c r="AO11" s="9">
        <f t="shared" si="29"/>
        <v>0</v>
      </c>
      <c r="AP11" s="9">
        <f t="shared" si="30"/>
        <v>0</v>
      </c>
      <c r="AQ11" s="9">
        <f t="shared" si="134"/>
        <v>71878.069089755649</v>
      </c>
      <c r="AR11" s="9">
        <f t="shared" si="31"/>
        <v>32000</v>
      </c>
      <c r="AS11" s="9">
        <f t="shared" si="32"/>
        <v>44000</v>
      </c>
      <c r="AT11" s="9">
        <f t="shared" si="33"/>
        <v>45954.820046253932</v>
      </c>
      <c r="AU11" s="9">
        <f t="shared" si="135"/>
        <v>10068.423964225192</v>
      </c>
      <c r="AV11" s="9">
        <f t="shared" si="136"/>
        <v>65955.466757858478</v>
      </c>
      <c r="AW11" s="7">
        <f t="shared" si="137"/>
        <v>67800.67142165282</v>
      </c>
      <c r="AX11" s="7">
        <f t="shared" si="138"/>
        <v>66023.89072208367</v>
      </c>
      <c r="AY11" s="7">
        <f t="shared" si="34"/>
        <v>0.64671160454339971</v>
      </c>
      <c r="AZ11" s="7">
        <f t="shared" si="139"/>
        <v>0</v>
      </c>
      <c r="BA11" s="7">
        <f t="shared" si="35"/>
        <v>0</v>
      </c>
      <c r="BB11" s="7">
        <f t="shared" si="36"/>
        <v>0</v>
      </c>
      <c r="BC11" s="7">
        <f t="shared" si="37"/>
        <v>4.0471994302590367E-2</v>
      </c>
      <c r="BD11" s="7">
        <f t="shared" si="38"/>
        <v>32498.964199533471</v>
      </c>
      <c r="BE11" s="7">
        <f t="shared" si="39"/>
        <v>23454.992073923448</v>
      </c>
      <c r="BF11" s="7">
        <f t="shared" si="140"/>
        <v>23454.992073923448</v>
      </c>
      <c r="BG11" s="7">
        <f t="shared" si="169"/>
        <v>33524.65670925485</v>
      </c>
      <c r="BH11" s="7">
        <f t="shared" si="172"/>
        <v>42568.628834864867</v>
      </c>
      <c r="BI11" s="7">
        <f t="shared" si="141"/>
        <v>33524.65670925485</v>
      </c>
      <c r="BJ11" s="7">
        <f t="shared" si="40"/>
        <v>0.37689830919279727</v>
      </c>
      <c r="BK11" s="7">
        <f t="shared" si="41"/>
        <v>0</v>
      </c>
      <c r="BL11" s="7">
        <f t="shared" si="42"/>
        <v>10000</v>
      </c>
      <c r="BM11" s="7">
        <f t="shared" si="43"/>
        <v>45954.820046253932</v>
      </c>
      <c r="BN11" s="7">
        <f t="shared" si="44"/>
        <v>0.26981329535060244</v>
      </c>
      <c r="BO11" s="7">
        <f t="shared" si="45"/>
        <v>0</v>
      </c>
      <c r="BP11" s="7">
        <f t="shared" si="142"/>
        <v>10200</v>
      </c>
      <c r="BQ11" s="7">
        <f t="shared" si="46"/>
        <v>10200</v>
      </c>
      <c r="BR11" s="7">
        <f t="shared" si="47"/>
        <v>0</v>
      </c>
      <c r="BS11" s="7">
        <f t="shared" si="48"/>
        <v>0</v>
      </c>
      <c r="BT11" s="7">
        <f t="shared" si="49"/>
        <v>45755.466757858478</v>
      </c>
      <c r="BU11" s="157">
        <f t="shared" si="50"/>
        <v>1.1557612544668381E-5</v>
      </c>
      <c r="BV11" s="51">
        <f t="shared" si="51"/>
        <v>0</v>
      </c>
      <c r="BW11" s="51">
        <f t="shared" si="52"/>
        <v>1000000</v>
      </c>
      <c r="BX11" s="51">
        <f t="shared" si="53"/>
        <v>10000000000</v>
      </c>
      <c r="BY11" s="51">
        <f t="shared" si="54"/>
        <v>10000000000</v>
      </c>
      <c r="BZ11" s="51">
        <f t="shared" si="55"/>
        <v>10000000000</v>
      </c>
      <c r="CA11" s="51">
        <f t="shared" si="56"/>
        <v>10000000000</v>
      </c>
      <c r="CB11" s="51">
        <f t="shared" si="57"/>
        <v>10000000000</v>
      </c>
      <c r="CC11" s="51">
        <f t="shared" si="58"/>
        <v>10000000000</v>
      </c>
      <c r="CD11" s="51">
        <f t="shared" si="59"/>
        <v>10000000000</v>
      </c>
      <c r="CE11" s="51">
        <f t="shared" si="60"/>
        <v>10000000000</v>
      </c>
      <c r="CF11" s="51">
        <f t="shared" si="61"/>
        <v>10000000000</v>
      </c>
      <c r="CG11" s="51">
        <f t="shared" si="62"/>
        <v>10000000000</v>
      </c>
      <c r="CH11" s="51">
        <f t="shared" si="63"/>
        <v>0</v>
      </c>
      <c r="CI11" s="51">
        <f t="shared" si="64"/>
        <v>1000000</v>
      </c>
      <c r="CJ11" s="51">
        <f t="shared" si="65"/>
        <v>10000000000</v>
      </c>
      <c r="CK11" s="51">
        <f t="shared" si="66"/>
        <v>10000000000</v>
      </c>
      <c r="CL11" s="51">
        <f t="shared" si="67"/>
        <v>10000000000</v>
      </c>
      <c r="CM11" s="51">
        <f t="shared" si="68"/>
        <v>10000000000</v>
      </c>
      <c r="CN11" s="51">
        <f t="shared" si="69"/>
        <v>10000000000</v>
      </c>
      <c r="CO11" s="51">
        <f t="shared" si="70"/>
        <v>10000000000</v>
      </c>
      <c r="CP11" s="51">
        <f t="shared" si="71"/>
        <v>10000000000</v>
      </c>
      <c r="CQ11" s="51">
        <f t="shared" si="72"/>
        <v>10000000000</v>
      </c>
      <c r="CR11" s="51">
        <f t="shared" si="73"/>
        <v>10000000000</v>
      </c>
      <c r="CS11" s="51">
        <f t="shared" si="74"/>
        <v>10000000000</v>
      </c>
      <c r="CT11" s="7">
        <f t="shared" si="75"/>
        <v>50000</v>
      </c>
      <c r="CU11" s="7">
        <f t="shared" si="76"/>
        <v>0</v>
      </c>
      <c r="CV11" s="7">
        <f t="shared" si="76"/>
        <v>0</v>
      </c>
      <c r="CW11" s="7">
        <f t="shared" si="76"/>
        <v>0</v>
      </c>
      <c r="CX11" s="7">
        <f t="shared" si="76"/>
        <v>0</v>
      </c>
      <c r="CY11" s="7">
        <f t="shared" si="76"/>
        <v>0</v>
      </c>
      <c r="CZ11" s="7">
        <f t="shared" si="76"/>
        <v>0</v>
      </c>
      <c r="DA11" s="7">
        <f t="shared" si="76"/>
        <v>0</v>
      </c>
      <c r="DB11" s="7">
        <f t="shared" si="76"/>
        <v>0</v>
      </c>
      <c r="DC11" s="7">
        <f t="shared" si="76"/>
        <v>0</v>
      </c>
      <c r="DD11" s="7">
        <f t="shared" si="76"/>
        <v>0</v>
      </c>
      <c r="DE11" s="37">
        <f t="shared" si="77"/>
        <v>0.05</v>
      </c>
      <c r="DF11" s="37">
        <f t="shared" si="78"/>
        <v>0.09</v>
      </c>
      <c r="DG11" s="7">
        <f t="shared" si="79"/>
        <v>0</v>
      </c>
      <c r="DH11" s="7">
        <f t="shared" si="80"/>
        <v>0</v>
      </c>
      <c r="DI11" s="7">
        <f t="shared" si="81"/>
        <v>0</v>
      </c>
      <c r="DJ11" s="7">
        <f t="shared" si="82"/>
        <v>0</v>
      </c>
      <c r="DK11" s="7">
        <f t="shared" si="83"/>
        <v>0</v>
      </c>
      <c r="DL11" s="7">
        <f t="shared" si="84"/>
        <v>0</v>
      </c>
      <c r="DM11" s="7">
        <f t="shared" si="85"/>
        <v>0</v>
      </c>
      <c r="DN11" s="7">
        <f t="shared" si="86"/>
        <v>0</v>
      </c>
      <c r="DO11" s="7">
        <f t="shared" si="87"/>
        <v>0</v>
      </c>
      <c r="DP11" s="7">
        <f t="shared" si="88"/>
        <v>0</v>
      </c>
      <c r="DQ11" s="7">
        <f t="shared" si="89"/>
        <v>2287.7733378929238</v>
      </c>
      <c r="DR11" s="37">
        <f t="shared" si="90"/>
        <v>0.05</v>
      </c>
      <c r="DS11" s="7">
        <f t="shared" si="91"/>
        <v>2.6441197829389109E-2</v>
      </c>
      <c r="DT11" s="7" t="b">
        <f t="shared" si="92"/>
        <v>1</v>
      </c>
      <c r="DU11" s="7" t="b">
        <f t="shared" si="93"/>
        <v>0</v>
      </c>
      <c r="DV11" s="7" t="b">
        <f t="shared" si="94"/>
        <v>0</v>
      </c>
      <c r="DW11" s="7" t="b">
        <f t="shared" si="95"/>
        <v>1</v>
      </c>
      <c r="DX11" s="7" t="b">
        <f t="shared" si="96"/>
        <v>0</v>
      </c>
      <c r="DY11" s="207">
        <f t="shared" si="97"/>
        <v>0.88797138218619198</v>
      </c>
      <c r="DZ11" s="7">
        <f t="shared" si="98"/>
        <v>3506.5369082412831</v>
      </c>
      <c r="EA11" s="36">
        <f t="shared" si="99"/>
        <v>0.12</v>
      </c>
      <c r="EB11" s="51">
        <f t="shared" si="170"/>
        <v>3506.5773802355857</v>
      </c>
      <c r="EC11" s="7">
        <f t="shared" si="100"/>
        <v>25821.094843464951</v>
      </c>
      <c r="ED11" s="7">
        <f t="shared" si="101"/>
        <v>104953.84671287693</v>
      </c>
      <c r="EE11" s="7">
        <f t="shared" si="102"/>
        <v>223764.27233959603</v>
      </c>
      <c r="EF11" s="7">
        <f t="shared" si="103"/>
        <v>427272.34096578421</v>
      </c>
      <c r="EG11" s="7">
        <f t="shared" si="104"/>
        <v>542521.23626926681</v>
      </c>
      <c r="EH11" s="7">
        <f t="shared" si="105"/>
        <v>2582.1094843464953</v>
      </c>
      <c r="EI11" s="7">
        <f t="shared" si="106"/>
        <v>12078.039708675933</v>
      </c>
      <c r="EJ11" s="7">
        <f t="shared" si="107"/>
        <v>38216.333346554136</v>
      </c>
      <c r="EK11" s="7">
        <f t="shared" si="108"/>
        <v>87058.269816839296</v>
      </c>
      <c r="EL11" s="7">
        <f t="shared" si="109"/>
        <v>123937.91631395373</v>
      </c>
      <c r="EM11" s="7">
        <f t="shared" si="110"/>
        <v>229273.51455835259</v>
      </c>
      <c r="EN11" s="7">
        <f t="shared" si="111"/>
        <v>287148.38231094641</v>
      </c>
      <c r="EO11" s="7">
        <f t="shared" si="112"/>
        <v>358378.98877567734</v>
      </c>
      <c r="EP11" s="7">
        <f t="shared" si="113"/>
        <v>429609.59524040821</v>
      </c>
      <c r="EQ11" s="7">
        <f t="shared" si="114"/>
        <v>834733.66950856522</v>
      </c>
      <c r="ER11" s="7">
        <f t="shared" si="115"/>
        <v>4647.7970718236911</v>
      </c>
      <c r="ES11" s="10">
        <f t="shared" si="116"/>
        <v>1</v>
      </c>
      <c r="ET11" s="16">
        <f t="shared" si="117"/>
        <v>1</v>
      </c>
      <c r="EU11" s="16">
        <f t="shared" si="118"/>
        <v>24</v>
      </c>
      <c r="EV11" s="7">
        <f t="shared" si="119"/>
        <v>0</v>
      </c>
      <c r="EW11" s="37">
        <f t="shared" si="143"/>
        <v>6.9463466030188409E-2</v>
      </c>
      <c r="EX11" s="7">
        <f t="shared" si="120"/>
        <v>5794.3507181285095</v>
      </c>
      <c r="EY11" s="7">
        <f t="shared" si="171"/>
        <v>5145.2176160481267</v>
      </c>
      <c r="EZ11" s="37">
        <f t="shared" si="121"/>
        <v>0.16999999999999998</v>
      </c>
      <c r="FA11" s="37">
        <f t="shared" si="122"/>
        <v>8.5461553648833427E-2</v>
      </c>
      <c r="FB11" s="7">
        <f t="shared" si="123"/>
        <v>62006.444887049351</v>
      </c>
      <c r="FC11" s="7">
        <f t="shared" si="173"/>
        <v>55059.948570805151</v>
      </c>
      <c r="FD11" s="7">
        <f t="shared" si="144"/>
        <v>1657.8251657014559</v>
      </c>
      <c r="FE11" s="7">
        <f t="shared" si="124"/>
        <v>55000</v>
      </c>
      <c r="FF11" s="7">
        <f t="shared" si="145"/>
        <v>10518.202757587791</v>
      </c>
      <c r="FG11" s="7">
        <f t="shared" si="146"/>
        <v>0</v>
      </c>
      <c r="FH11" s="7">
        <f t="shared" si="147"/>
        <v>8879.7138218619202</v>
      </c>
      <c r="FI11" s="7">
        <f t="shared" si="125"/>
        <v>0.13738019580398894</v>
      </c>
      <c r="FJ11" s="7">
        <f t="shared" si="148"/>
        <v>40806.565074589824</v>
      </c>
      <c r="FK11" s="7">
        <f t="shared" si="149"/>
        <v>0</v>
      </c>
      <c r="FL11" s="7">
        <f t="shared" si="150"/>
        <v>0.68453281372767349</v>
      </c>
      <c r="FM11" s="7">
        <f t="shared" si="151"/>
        <v>0</v>
      </c>
      <c r="FN11" s="7">
        <f t="shared" si="152"/>
        <v>0</v>
      </c>
      <c r="FO11" s="7">
        <f t="shared" si="153"/>
        <v>3.5937972720702857E-2</v>
      </c>
      <c r="FP11" s="7">
        <f t="shared" si="154"/>
        <v>3113.7044250979084</v>
      </c>
      <c r="FQ11" s="7">
        <f t="shared" si="155"/>
        <v>2031.4772529774975</v>
      </c>
      <c r="FR11" s="7">
        <f t="shared" si="156"/>
        <v>0</v>
      </c>
      <c r="FS11" s="7">
        <f t="shared" si="157"/>
        <v>8940.4723439496229</v>
      </c>
      <c r="FT11" s="7">
        <f t="shared" si="158"/>
        <v>0.33467491255756693</v>
      </c>
      <c r="FU11" s="7">
        <f t="shared" si="159"/>
        <v>0.2395864848046857</v>
      </c>
      <c r="FV11" s="7">
        <f t="shared" si="160"/>
        <v>40806.565074589824</v>
      </c>
      <c r="FW11" s="7">
        <f t="shared" si="161"/>
        <v>0.33467491255756693</v>
      </c>
      <c r="FX11" s="7">
        <f t="shared" si="162"/>
        <v>0</v>
      </c>
      <c r="FY11" s="7">
        <f t="shared" si="163"/>
        <v>8879.7138218619202</v>
      </c>
      <c r="FZ11" s="7">
        <f t="shared" si="164"/>
        <v>0.2395864848046857</v>
      </c>
      <c r="GA11" s="7">
        <f t="shared" si="165"/>
        <v>0</v>
      </c>
      <c r="GB11" s="7">
        <f t="shared" si="166"/>
        <v>40806.565074589824</v>
      </c>
      <c r="GC11" s="7">
        <f t="shared" si="126"/>
        <v>0.12198968235307775</v>
      </c>
      <c r="GD11" s="7">
        <f t="shared" si="127"/>
        <v>385316.6451819021</v>
      </c>
      <c r="GE11" s="7">
        <f t="shared" si="128"/>
        <v>879757.85081745731</v>
      </c>
      <c r="GF11" s="7">
        <f t="shared" si="129"/>
        <v>32135.274212402328</v>
      </c>
      <c r="GG11" s="7">
        <f t="shared" si="130"/>
        <v>73175.896387814253</v>
      </c>
      <c r="GH11" s="7">
        <f t="shared" si="131"/>
        <v>0</v>
      </c>
      <c r="GI11" s="7">
        <f t="shared" si="132"/>
        <v>0</v>
      </c>
      <c r="GJ11" s="7">
        <v>967139.55145736854</v>
      </c>
      <c r="GK11" s="7">
        <v>185054.03333333333</v>
      </c>
    </row>
    <row r="12" spans="1:193" x14ac:dyDescent="0.55000000000000004">
      <c r="A12" s="60">
        <f t="shared" si="0"/>
        <v>2032</v>
      </c>
      <c r="B12" s="60">
        <f t="shared" si="1"/>
        <v>69</v>
      </c>
      <c r="C12" s="60">
        <f t="shared" si="2"/>
        <v>69</v>
      </c>
      <c r="D12" s="7">
        <f t="shared" si="3"/>
        <v>5000</v>
      </c>
      <c r="E12" s="7">
        <f t="shared" si="4"/>
        <v>5000</v>
      </c>
      <c r="F12" s="7">
        <f t="shared" si="5"/>
        <v>0</v>
      </c>
      <c r="G12" s="7">
        <f t="shared" si="6"/>
        <v>0</v>
      </c>
      <c r="H12" s="7">
        <f t="shared" si="7"/>
        <v>0</v>
      </c>
      <c r="I12" s="7">
        <f t="shared" si="8"/>
        <v>12058.418347742645</v>
      </c>
      <c r="J12" s="7">
        <f t="shared" si="9"/>
        <v>12058.418347742645</v>
      </c>
      <c r="K12" s="7">
        <f t="shared" si="10"/>
        <v>10000</v>
      </c>
      <c r="L12" s="7">
        <f t="shared" si="11"/>
        <v>0</v>
      </c>
      <c r="M12" s="7">
        <f t="shared" si="12"/>
        <v>10000</v>
      </c>
      <c r="N12" s="7">
        <f t="shared" si="13"/>
        <v>22058.418347742645</v>
      </c>
      <c r="O12" s="7">
        <f t="shared" si="14"/>
        <v>47115.708537202423</v>
      </c>
      <c r="P12" s="7">
        <v>0</v>
      </c>
      <c r="Q12" s="29">
        <v>28269.425122321449</v>
      </c>
      <c r="R12" s="29">
        <v>18846.283414880974</v>
      </c>
      <c r="S12" s="7">
        <v>0.76852311979420662</v>
      </c>
      <c r="T12" s="7">
        <f t="shared" si="15"/>
        <v>0.37689523744013353</v>
      </c>
      <c r="U12" s="7">
        <f t="shared" si="16"/>
        <v>0</v>
      </c>
      <c r="V12" s="7">
        <f t="shared" si="17"/>
        <v>0</v>
      </c>
      <c r="W12" s="7"/>
      <c r="X12" s="7"/>
      <c r="Y12" s="7">
        <f t="shared" si="18"/>
        <v>0</v>
      </c>
      <c r="Z12" s="7">
        <f t="shared" si="18"/>
        <v>0</v>
      </c>
      <c r="AA12" s="7">
        <f t="shared" si="19"/>
        <v>0.26898309192797232</v>
      </c>
      <c r="AB12" s="7"/>
      <c r="AC12" s="7">
        <f t="shared" si="20"/>
        <v>10.768435355432386</v>
      </c>
      <c r="AD12" s="7">
        <f t="shared" si="21"/>
        <v>0</v>
      </c>
      <c r="AE12" s="7">
        <f t="shared" si="22"/>
        <v>663062.79673307436</v>
      </c>
      <c r="AF12" s="9">
        <f t="shared" si="23"/>
        <v>397837.6780398445</v>
      </c>
      <c r="AG12" s="56">
        <f t="shared" si="24"/>
        <v>265225.1186932298</v>
      </c>
      <c r="AH12" s="165">
        <f t="shared" si="25"/>
        <v>0.84</v>
      </c>
      <c r="AI12" s="56">
        <f t="shared" si="133"/>
        <v>663073.56516842975</v>
      </c>
      <c r="AJ12" s="56">
        <f t="shared" si="26"/>
        <v>9.3745710064176038</v>
      </c>
      <c r="AK12" s="56">
        <f t="shared" si="27"/>
        <v>0</v>
      </c>
      <c r="AL12" s="56">
        <f t="shared" si="167"/>
        <v>484878.29607519665</v>
      </c>
      <c r="AM12" s="9">
        <f t="shared" si="168"/>
        <v>484887.67064620304</v>
      </c>
      <c r="AN12" s="9">
        <f t="shared" si="28"/>
        <v>0</v>
      </c>
      <c r="AO12" s="9">
        <f t="shared" si="29"/>
        <v>0</v>
      </c>
      <c r="AP12" s="9">
        <f t="shared" si="30"/>
        <v>0</v>
      </c>
      <c r="AQ12" s="9">
        <f t="shared" si="134"/>
        <v>73145.5635894031</v>
      </c>
      <c r="AR12" s="9">
        <f t="shared" si="31"/>
        <v>32000</v>
      </c>
      <c r="AS12" s="9">
        <f t="shared" si="32"/>
        <v>44000</v>
      </c>
      <c r="AT12" s="9">
        <f t="shared" si="33"/>
        <v>47115.708537202423</v>
      </c>
      <c r="AU12" s="9">
        <f>IF(AQ12&lt;AR12,0,MIN(0.85*J12,MIN(AS12-AR12,AQ12-AR12)*0.5*J12+IF(AQ12&gt;AS12,0.85*(AQ12-AS12),0)*J12))</f>
        <v>10249.655595581247</v>
      </c>
      <c r="AV12" s="9">
        <f t="shared" si="136"/>
        <v>67116.35441553178</v>
      </c>
      <c r="AW12" s="7">
        <f xml:space="preserve"> K12+J12+O12 +T12 + U12 + V12 + AA12</f>
        <v>69174.772763274435</v>
      </c>
      <c r="AX12" s="7">
        <f t="shared" si="138"/>
        <v>67366.01001111303</v>
      </c>
      <c r="AY12" s="7">
        <f t="shared" si="34"/>
        <v>0.64587832936810585</v>
      </c>
      <c r="AZ12" s="7">
        <f t="shared" si="139"/>
        <v>0</v>
      </c>
      <c r="BA12" s="7">
        <f t="shared" si="35"/>
        <v>0</v>
      </c>
      <c r="BB12" s="7">
        <f t="shared" si="36"/>
        <v>0</v>
      </c>
      <c r="BC12" s="7">
        <f t="shared" si="37"/>
        <v>4.0347463789195848E-2</v>
      </c>
      <c r="BD12" s="7">
        <f t="shared" si="38"/>
        <v>33083.945555125079</v>
      </c>
      <c r="BE12" s="7">
        <f t="shared" si="39"/>
        <v>23513.036456807116</v>
      </c>
      <c r="BF12" s="7">
        <f t="shared" si="140"/>
        <v>23513.036456807116</v>
      </c>
      <c r="BG12" s="7">
        <f t="shared" si="169"/>
        <v>34281.795472896025</v>
      </c>
      <c r="BH12" s="7">
        <f t="shared" si="172"/>
        <v>43852.704571213988</v>
      </c>
      <c r="BI12" s="7">
        <f t="shared" si="141"/>
        <v>34281.795472896025</v>
      </c>
      <c r="BJ12" s="7">
        <f t="shared" si="40"/>
        <v>0.37689523744013353</v>
      </c>
      <c r="BK12" s="7">
        <f t="shared" si="41"/>
        <v>0</v>
      </c>
      <c r="BL12" s="7">
        <f t="shared" si="42"/>
        <v>10000</v>
      </c>
      <c r="BM12" s="7">
        <f t="shared" si="43"/>
        <v>47115.708537202423</v>
      </c>
      <c r="BN12" s="7">
        <f t="shared" si="44"/>
        <v>0.26898309192797232</v>
      </c>
      <c r="BO12" s="7">
        <f t="shared" si="45"/>
        <v>0</v>
      </c>
      <c r="BP12" s="7">
        <f t="shared" si="142"/>
        <v>10200</v>
      </c>
      <c r="BQ12" s="7">
        <f t="shared" si="46"/>
        <v>10200</v>
      </c>
      <c r="BR12" s="7">
        <f t="shared" si="47"/>
        <v>0</v>
      </c>
      <c r="BS12" s="7">
        <f t="shared" si="48"/>
        <v>0</v>
      </c>
      <c r="BT12" s="7">
        <f t="shared" si="49"/>
        <v>46916.354415531787</v>
      </c>
      <c r="BU12" s="157">
        <f t="shared" si="50"/>
        <v>1.1308115442194094E-5</v>
      </c>
      <c r="BV12" s="51">
        <f t="shared" si="51"/>
        <v>0</v>
      </c>
      <c r="BW12" s="51">
        <f t="shared" si="52"/>
        <v>1000000</v>
      </c>
      <c r="BX12" s="51">
        <f t="shared" si="53"/>
        <v>10000000000</v>
      </c>
      <c r="BY12" s="51">
        <f t="shared" si="54"/>
        <v>10000000000</v>
      </c>
      <c r="BZ12" s="51">
        <f t="shared" si="55"/>
        <v>10000000000</v>
      </c>
      <c r="CA12" s="51">
        <f t="shared" si="56"/>
        <v>10000000000</v>
      </c>
      <c r="CB12" s="51">
        <f t="shared" si="57"/>
        <v>10000000000</v>
      </c>
      <c r="CC12" s="51">
        <f t="shared" si="58"/>
        <v>10000000000</v>
      </c>
      <c r="CD12" s="51">
        <f t="shared" si="59"/>
        <v>10000000000</v>
      </c>
      <c r="CE12" s="51">
        <f t="shared" si="60"/>
        <v>10000000000</v>
      </c>
      <c r="CF12" s="51">
        <f t="shared" si="61"/>
        <v>10000000000</v>
      </c>
      <c r="CG12" s="51">
        <f t="shared" si="62"/>
        <v>10000000000</v>
      </c>
      <c r="CH12" s="51">
        <f t="shared" si="63"/>
        <v>0</v>
      </c>
      <c r="CI12" s="51">
        <f t="shared" si="64"/>
        <v>1000000</v>
      </c>
      <c r="CJ12" s="51">
        <f t="shared" si="65"/>
        <v>10000000000</v>
      </c>
      <c r="CK12" s="51">
        <f t="shared" si="66"/>
        <v>10000000000</v>
      </c>
      <c r="CL12" s="51">
        <f t="shared" si="67"/>
        <v>10000000000</v>
      </c>
      <c r="CM12" s="51">
        <f t="shared" si="68"/>
        <v>10000000000</v>
      </c>
      <c r="CN12" s="51">
        <f t="shared" si="69"/>
        <v>10000000000</v>
      </c>
      <c r="CO12" s="51">
        <f t="shared" si="70"/>
        <v>10000000000</v>
      </c>
      <c r="CP12" s="51">
        <f t="shared" si="71"/>
        <v>10000000000</v>
      </c>
      <c r="CQ12" s="51">
        <f t="shared" si="72"/>
        <v>10000000000</v>
      </c>
      <c r="CR12" s="51">
        <f t="shared" si="73"/>
        <v>10000000000</v>
      </c>
      <c r="CS12" s="51">
        <f t="shared" si="74"/>
        <v>10000000000</v>
      </c>
      <c r="CT12" s="7">
        <f t="shared" si="75"/>
        <v>50000</v>
      </c>
      <c r="CU12" s="7">
        <f t="shared" si="76"/>
        <v>0</v>
      </c>
      <c r="CV12" s="7">
        <f t="shared" si="76"/>
        <v>0</v>
      </c>
      <c r="CW12" s="7">
        <f t="shared" si="76"/>
        <v>0</v>
      </c>
      <c r="CX12" s="7">
        <f t="shared" si="76"/>
        <v>0</v>
      </c>
      <c r="CY12" s="7">
        <f t="shared" si="76"/>
        <v>0</v>
      </c>
      <c r="CZ12" s="7">
        <f t="shared" si="76"/>
        <v>0</v>
      </c>
      <c r="DA12" s="7">
        <f t="shared" si="76"/>
        <v>0</v>
      </c>
      <c r="DB12" s="7">
        <f t="shared" si="76"/>
        <v>0</v>
      </c>
      <c r="DC12" s="7">
        <f t="shared" si="76"/>
        <v>0</v>
      </c>
      <c r="DD12" s="7">
        <f t="shared" si="76"/>
        <v>0</v>
      </c>
      <c r="DE12" s="37">
        <f t="shared" si="77"/>
        <v>0.05</v>
      </c>
      <c r="DF12" s="37">
        <f t="shared" si="78"/>
        <v>0.09</v>
      </c>
      <c r="DG12" s="7">
        <f t="shared" si="79"/>
        <v>0</v>
      </c>
      <c r="DH12" s="7">
        <f t="shared" si="80"/>
        <v>0</v>
      </c>
      <c r="DI12" s="7">
        <f t="shared" si="81"/>
        <v>0</v>
      </c>
      <c r="DJ12" s="7">
        <f t="shared" si="82"/>
        <v>0</v>
      </c>
      <c r="DK12" s="7">
        <f t="shared" si="83"/>
        <v>0</v>
      </c>
      <c r="DL12" s="7">
        <f t="shared" si="84"/>
        <v>0</v>
      </c>
      <c r="DM12" s="7">
        <f t="shared" si="85"/>
        <v>0</v>
      </c>
      <c r="DN12" s="7">
        <f t="shared" si="86"/>
        <v>0</v>
      </c>
      <c r="DO12" s="7">
        <f t="shared" si="87"/>
        <v>0</v>
      </c>
      <c r="DP12" s="7">
        <f t="shared" si="88"/>
        <v>0</v>
      </c>
      <c r="DQ12" s="7">
        <f t="shared" si="89"/>
        <v>2345.8177207765893</v>
      </c>
      <c r="DR12" s="37">
        <f t="shared" si="90"/>
        <v>0.05</v>
      </c>
      <c r="DS12" s="7">
        <f t="shared" si="91"/>
        <v>2.6526777592886304E-2</v>
      </c>
      <c r="DT12" s="7" t="b">
        <f t="shared" si="92"/>
        <v>1</v>
      </c>
      <c r="DU12" s="7" t="b">
        <f t="shared" si="93"/>
        <v>0</v>
      </c>
      <c r="DV12" s="7" t="b">
        <f t="shared" si="94"/>
        <v>0</v>
      </c>
      <c r="DW12" s="7" t="b">
        <f t="shared" si="95"/>
        <v>1</v>
      </c>
      <c r="DX12" s="7" t="b">
        <f t="shared" si="96"/>
        <v>0</v>
      </c>
      <c r="DY12" s="207">
        <f t="shared" si="97"/>
        <v>0.87056017861391388</v>
      </c>
      <c r="DZ12" s="7">
        <f t="shared" si="98"/>
        <v>3588.097965734577</v>
      </c>
      <c r="EA12" s="36">
        <f t="shared" si="99"/>
        <v>0.12</v>
      </c>
      <c r="EB12" s="51">
        <f t="shared" si="170"/>
        <v>3588.1383131983662</v>
      </c>
      <c r="EC12" s="7">
        <f t="shared" si="100"/>
        <v>26285.874550647324</v>
      </c>
      <c r="ED12" s="7">
        <f t="shared" si="101"/>
        <v>106843.01595370873</v>
      </c>
      <c r="EE12" s="7">
        <f t="shared" si="102"/>
        <v>227792.02924170881</v>
      </c>
      <c r="EF12" s="7">
        <f t="shared" si="103"/>
        <v>434963.24310316844</v>
      </c>
      <c r="EG12" s="7">
        <f t="shared" si="104"/>
        <v>552286.61852211365</v>
      </c>
      <c r="EH12" s="7">
        <f t="shared" si="105"/>
        <v>2628.5874550647327</v>
      </c>
      <c r="EI12" s="7">
        <f t="shared" si="106"/>
        <v>12295.444423432102</v>
      </c>
      <c r="EJ12" s="7">
        <f t="shared" si="107"/>
        <v>38904.227346792119</v>
      </c>
      <c r="EK12" s="7">
        <f t="shared" si="108"/>
        <v>88625.318673542439</v>
      </c>
      <c r="EL12" s="7">
        <f t="shared" si="109"/>
        <v>126168.79880760491</v>
      </c>
      <c r="EM12" s="7">
        <f t="shared" si="110"/>
        <v>233400.43782040296</v>
      </c>
      <c r="EN12" s="7">
        <f t="shared" si="111"/>
        <v>292317.05319254351</v>
      </c>
      <c r="EO12" s="7">
        <f t="shared" si="112"/>
        <v>364829.81057363958</v>
      </c>
      <c r="EP12" s="7">
        <f t="shared" si="113"/>
        <v>437342.56795473566</v>
      </c>
      <c r="EQ12" s="7">
        <f t="shared" si="114"/>
        <v>849758.87555971951</v>
      </c>
      <c r="ER12" s="7">
        <f t="shared" si="115"/>
        <v>4731.4574191165184</v>
      </c>
      <c r="ES12" s="10">
        <f t="shared" si="116"/>
        <v>1</v>
      </c>
      <c r="ET12" s="16">
        <f t="shared" si="117"/>
        <v>1</v>
      </c>
      <c r="EU12" s="16">
        <f t="shared" si="118"/>
        <v>24</v>
      </c>
      <c r="EV12" s="7">
        <f t="shared" si="119"/>
        <v>0</v>
      </c>
      <c r="EW12" s="37">
        <f t="shared" si="143"/>
        <v>7.1078417985559736E-2</v>
      </c>
      <c r="EX12" s="7">
        <f t="shared" si="120"/>
        <v>5933.9560339749551</v>
      </c>
      <c r="EY12" s="7">
        <f t="shared" si="171"/>
        <v>5165.8658248243491</v>
      </c>
      <c r="EZ12" s="37">
        <f t="shared" si="121"/>
        <v>0.16999999999999998</v>
      </c>
      <c r="FA12" s="37">
        <f t="shared" si="122"/>
        <v>8.5782082064537704E-2</v>
      </c>
      <c r="FB12" s="7">
        <f t="shared" si="123"/>
        <v>63240.93937408991</v>
      </c>
      <c r="FC12" s="7">
        <f t="shared" si="173"/>
        <v>55055.043477219413</v>
      </c>
      <c r="FD12" s="7">
        <f t="shared" si="144"/>
        <v>1647.3370487683073</v>
      </c>
      <c r="FE12" s="7">
        <f t="shared" si="124"/>
        <v>55000</v>
      </c>
      <c r="FF12" s="7">
        <f t="shared" si="145"/>
        <v>10497.578830612134</v>
      </c>
      <c r="FG12" s="7">
        <f t="shared" si="146"/>
        <v>0</v>
      </c>
      <c r="FH12" s="7">
        <f t="shared" si="147"/>
        <v>8705.6017861391392</v>
      </c>
      <c r="FI12" s="7">
        <f t="shared" si="125"/>
        <v>0.13489234711116294</v>
      </c>
      <c r="FJ12" s="7">
        <f t="shared" si="148"/>
        <v>41017.059639668048</v>
      </c>
      <c r="FK12" s="7">
        <f t="shared" si="149"/>
        <v>0</v>
      </c>
      <c r="FL12" s="7">
        <f t="shared" si="150"/>
        <v>0.6690456244369668</v>
      </c>
      <c r="FM12" s="7">
        <f t="shared" si="151"/>
        <v>0</v>
      </c>
      <c r="FN12" s="7">
        <f t="shared" si="152"/>
        <v>0</v>
      </c>
      <c r="FO12" s="7">
        <f t="shared" si="153"/>
        <v>3.5124895282940757E-2</v>
      </c>
      <c r="FP12" s="7">
        <f t="shared" si="154"/>
        <v>3123.6552059341143</v>
      </c>
      <c r="FQ12" s="7">
        <f t="shared" si="155"/>
        <v>2042.1754939949519</v>
      </c>
      <c r="FR12" s="7">
        <f t="shared" si="156"/>
        <v>0</v>
      </c>
      <c r="FS12" s="7">
        <f t="shared" si="157"/>
        <v>8922.942006020312</v>
      </c>
      <c r="FT12" s="7">
        <f t="shared" si="158"/>
        <v>0.32810998522461615</v>
      </c>
      <c r="FU12" s="7">
        <f t="shared" si="159"/>
        <v>0.23416596855293839</v>
      </c>
      <c r="FV12" s="7">
        <f t="shared" si="160"/>
        <v>41017.059639668048</v>
      </c>
      <c r="FW12" s="7">
        <f t="shared" si="161"/>
        <v>0.32810998522461615</v>
      </c>
      <c r="FX12" s="7">
        <f t="shared" si="162"/>
        <v>0</v>
      </c>
      <c r="FY12" s="7">
        <f t="shared" si="163"/>
        <v>8705.6017861391392</v>
      </c>
      <c r="FZ12" s="7">
        <f t="shared" si="164"/>
        <v>0.23416596855293839</v>
      </c>
      <c r="GA12" s="7">
        <f t="shared" si="165"/>
        <v>0</v>
      </c>
      <c r="GB12" s="7">
        <f t="shared" si="166"/>
        <v>41017.059639668048</v>
      </c>
      <c r="GC12" s="7">
        <f t="shared" si="126"/>
        <v>0.11743190579474408</v>
      </c>
      <c r="GD12" s="7">
        <f t="shared" si="127"/>
        <v>440371.68865912152</v>
      </c>
      <c r="GE12" s="7">
        <f t="shared" si="128"/>
        <v>925259.3593053245</v>
      </c>
      <c r="GF12" s="7">
        <f t="shared" si="129"/>
        <v>37301.14003722668</v>
      </c>
      <c r="GG12" s="7">
        <f t="shared" si="130"/>
        <v>83673.475218426393</v>
      </c>
      <c r="GH12" s="7">
        <f t="shared" si="131"/>
        <v>0</v>
      </c>
      <c r="GI12" s="7">
        <f t="shared" si="132"/>
        <v>0</v>
      </c>
      <c r="GJ12" s="7">
        <v>1025561.9375314051</v>
      </c>
      <c r="GK12" s="7">
        <v>211808.83333333331</v>
      </c>
    </row>
    <row r="13" spans="1:193" x14ac:dyDescent="0.55000000000000004">
      <c r="A13" s="60">
        <f t="shared" si="0"/>
        <v>2033</v>
      </c>
      <c r="B13" s="60">
        <f t="shared" si="1"/>
        <v>70</v>
      </c>
      <c r="C13" s="60">
        <f t="shared" si="2"/>
        <v>70</v>
      </c>
      <c r="D13" s="7">
        <f t="shared" si="3"/>
        <v>5000</v>
      </c>
      <c r="E13" s="7">
        <f t="shared" si="4"/>
        <v>5000</v>
      </c>
      <c r="F13" s="7">
        <f t="shared" si="5"/>
        <v>0</v>
      </c>
      <c r="G13" s="7">
        <f t="shared" si="6"/>
        <v>0</v>
      </c>
      <c r="H13" s="7">
        <f t="shared" si="7"/>
        <v>29891.67111646372</v>
      </c>
      <c r="I13" s="7">
        <f t="shared" si="8"/>
        <v>12275.469878002012</v>
      </c>
      <c r="J13" s="7">
        <f t="shared" si="9"/>
        <v>42167.140994465735</v>
      </c>
      <c r="K13" s="7">
        <f t="shared" si="10"/>
        <v>10000</v>
      </c>
      <c r="L13" s="7">
        <f t="shared" si="11"/>
        <v>0</v>
      </c>
      <c r="M13" s="7">
        <f t="shared" si="12"/>
        <v>10000</v>
      </c>
      <c r="N13" s="7">
        <f t="shared" si="13"/>
        <v>52167.140994465735</v>
      </c>
      <c r="O13" s="7">
        <f t="shared" si="14"/>
        <v>15912.658942218961</v>
      </c>
      <c r="P13" s="7">
        <v>0</v>
      </c>
      <c r="Q13" s="29">
        <v>9547.5953653313754</v>
      </c>
      <c r="R13" s="29">
        <v>6365.0635768875864</v>
      </c>
      <c r="S13" s="7">
        <v>0.76843535543238595</v>
      </c>
      <c r="T13" s="7">
        <f t="shared" si="15"/>
        <v>0.37689512378528506</v>
      </c>
      <c r="U13" s="7">
        <f t="shared" si="16"/>
        <v>0</v>
      </c>
      <c r="V13" s="7">
        <f t="shared" si="17"/>
        <v>0</v>
      </c>
      <c r="W13" s="7"/>
      <c r="X13" s="7"/>
      <c r="Y13" s="7">
        <f t="shared" si="18"/>
        <v>0</v>
      </c>
      <c r="Z13" s="7">
        <f t="shared" si="18"/>
        <v>0</v>
      </c>
      <c r="AA13" s="7">
        <f t="shared" si="19"/>
        <v>0.26895237440133507</v>
      </c>
      <c r="AB13" s="7"/>
      <c r="AC13" s="7">
        <f t="shared" si="20"/>
        <v>10.768432108151</v>
      </c>
      <c r="AD13" s="7">
        <f t="shared" si="21"/>
        <v>0</v>
      </c>
      <c r="AE13" s="7">
        <f t="shared" si="22"/>
        <v>695628.01636824082</v>
      </c>
      <c r="AF13" s="9">
        <f t="shared" si="23"/>
        <v>417376.80982094439</v>
      </c>
      <c r="AG13" s="56">
        <f t="shared" si="24"/>
        <v>278251.20654729637</v>
      </c>
      <c r="AH13" s="165">
        <f t="shared" si="25"/>
        <v>0.84</v>
      </c>
      <c r="AI13" s="56">
        <f t="shared" si="133"/>
        <v>695638.78480034892</v>
      </c>
      <c r="AJ13" s="56">
        <f t="shared" si="26"/>
        <v>9.1907531171213126</v>
      </c>
      <c r="AK13" s="56">
        <f t="shared" si="27"/>
        <v>0</v>
      </c>
      <c r="AL13" s="56">
        <f t="shared" si="167"/>
        <v>498717.92367631156</v>
      </c>
      <c r="AM13" s="9">
        <f t="shared" si="168"/>
        <v>498727.11442942871</v>
      </c>
      <c r="AN13" s="9">
        <f t="shared" si="28"/>
        <v>0</v>
      </c>
      <c r="AO13" s="9">
        <f t="shared" si="29"/>
        <v>0</v>
      </c>
      <c r="AP13" s="9">
        <f t="shared" si="30"/>
        <v>0</v>
      </c>
      <c r="AQ13" s="9">
        <f t="shared" si="134"/>
        <v>56996.875286950017</v>
      </c>
      <c r="AR13" s="9">
        <f t="shared" si="31"/>
        <v>32000</v>
      </c>
      <c r="AS13" s="9">
        <f t="shared" si="32"/>
        <v>44000</v>
      </c>
      <c r="AT13" s="9">
        <f t="shared" si="33"/>
        <v>15912.658942218961</v>
      </c>
      <c r="AU13" s="9">
        <f t="shared" si="135"/>
        <v>35842.069845295875</v>
      </c>
      <c r="AV13" s="9">
        <f t="shared" si="136"/>
        <v>35913.304789717149</v>
      </c>
      <c r="AW13" s="7">
        <f t="shared" si="137"/>
        <v>68080.445784182884</v>
      </c>
      <c r="AX13" s="7">
        <f t="shared" si="138"/>
        <v>61755.374635013024</v>
      </c>
      <c r="AY13" s="7">
        <f t="shared" si="34"/>
        <v>0.64584749818662013</v>
      </c>
      <c r="AZ13" s="7">
        <f t="shared" si="139"/>
        <v>0</v>
      </c>
      <c r="BA13" s="7">
        <f t="shared" si="35"/>
        <v>0</v>
      </c>
      <c r="BB13" s="7">
        <f t="shared" si="36"/>
        <v>0</v>
      </c>
      <c r="BC13" s="7">
        <f t="shared" si="37"/>
        <v>4.0342856160200259E-2</v>
      </c>
      <c r="BD13" s="7">
        <f t="shared" si="38"/>
        <v>33679.456575117329</v>
      </c>
      <c r="BE13" s="7">
        <f t="shared" si="39"/>
        <v>21952.883975516383</v>
      </c>
      <c r="BF13" s="7">
        <f t="shared" si="140"/>
        <v>21952.883975516383</v>
      </c>
      <c r="BG13" s="7">
        <f t="shared" si="169"/>
        <v>28075.649107521291</v>
      </c>
      <c r="BH13" s="7">
        <f t="shared" si="172"/>
        <v>39802.22170712224</v>
      </c>
      <c r="BI13" s="7">
        <f t="shared" si="141"/>
        <v>28075.649107521291</v>
      </c>
      <c r="BJ13" s="7">
        <f t="shared" si="40"/>
        <v>0.37689512378528506</v>
      </c>
      <c r="BK13" s="7">
        <f t="shared" si="41"/>
        <v>0</v>
      </c>
      <c r="BL13" s="7">
        <f t="shared" si="42"/>
        <v>10000</v>
      </c>
      <c r="BM13" s="7">
        <f t="shared" si="43"/>
        <v>15912.658942218961</v>
      </c>
      <c r="BN13" s="7">
        <f t="shared" si="44"/>
        <v>0.26895237440133507</v>
      </c>
      <c r="BO13" s="7">
        <f t="shared" si="45"/>
        <v>0</v>
      </c>
      <c r="BP13" s="7">
        <f t="shared" si="142"/>
        <v>10200</v>
      </c>
      <c r="BQ13" s="7">
        <f t="shared" si="46"/>
        <v>10200</v>
      </c>
      <c r="BR13" s="7">
        <f t="shared" si="47"/>
        <v>0</v>
      </c>
      <c r="BS13" s="7">
        <f t="shared" si="48"/>
        <v>0</v>
      </c>
      <c r="BT13" s="7">
        <f t="shared" si="49"/>
        <v>15713.304789717145</v>
      </c>
      <c r="BU13" s="157">
        <f t="shared" si="50"/>
        <v>2.4923393732585732E-5</v>
      </c>
      <c r="BV13" s="51">
        <f t="shared" si="51"/>
        <v>0</v>
      </c>
      <c r="BW13" s="51">
        <f t="shared" si="52"/>
        <v>1000000</v>
      </c>
      <c r="BX13" s="51">
        <f t="shared" si="53"/>
        <v>10000000000</v>
      </c>
      <c r="BY13" s="51">
        <f t="shared" si="54"/>
        <v>10000000000</v>
      </c>
      <c r="BZ13" s="51">
        <f t="shared" si="55"/>
        <v>10000000000</v>
      </c>
      <c r="CA13" s="51">
        <f t="shared" si="56"/>
        <v>10000000000</v>
      </c>
      <c r="CB13" s="51">
        <f t="shared" si="57"/>
        <v>10000000000</v>
      </c>
      <c r="CC13" s="51">
        <f t="shared" si="58"/>
        <v>10000000000</v>
      </c>
      <c r="CD13" s="51">
        <f t="shared" si="59"/>
        <v>10000000000</v>
      </c>
      <c r="CE13" s="51">
        <f t="shared" si="60"/>
        <v>10000000000</v>
      </c>
      <c r="CF13" s="51">
        <f t="shared" si="61"/>
        <v>10000000000</v>
      </c>
      <c r="CG13" s="51">
        <f t="shared" si="62"/>
        <v>10000000000</v>
      </c>
      <c r="CH13" s="51">
        <f t="shared" si="63"/>
        <v>0</v>
      </c>
      <c r="CI13" s="51">
        <f t="shared" si="64"/>
        <v>1000000</v>
      </c>
      <c r="CJ13" s="51">
        <f t="shared" si="65"/>
        <v>10000000000</v>
      </c>
      <c r="CK13" s="51">
        <f t="shared" si="66"/>
        <v>10000000000</v>
      </c>
      <c r="CL13" s="51">
        <f t="shared" si="67"/>
        <v>10000000000</v>
      </c>
      <c r="CM13" s="51">
        <f t="shared" si="68"/>
        <v>10000000000</v>
      </c>
      <c r="CN13" s="51">
        <f t="shared" si="69"/>
        <v>10000000000</v>
      </c>
      <c r="CO13" s="51">
        <f t="shared" si="70"/>
        <v>10000000000</v>
      </c>
      <c r="CP13" s="51">
        <f t="shared" si="71"/>
        <v>10000000000</v>
      </c>
      <c r="CQ13" s="51">
        <f t="shared" si="72"/>
        <v>10000000000</v>
      </c>
      <c r="CR13" s="51">
        <f t="shared" si="73"/>
        <v>10000000000</v>
      </c>
      <c r="CS13" s="51">
        <f t="shared" si="74"/>
        <v>10000000000</v>
      </c>
      <c r="CT13" s="7">
        <f t="shared" si="75"/>
        <v>50000</v>
      </c>
      <c r="CU13" s="7">
        <f t="shared" si="76"/>
        <v>0</v>
      </c>
      <c r="CV13" s="7">
        <f t="shared" si="76"/>
        <v>0</v>
      </c>
      <c r="CW13" s="7">
        <f t="shared" si="76"/>
        <v>0</v>
      </c>
      <c r="CX13" s="7">
        <f t="shared" si="76"/>
        <v>0</v>
      </c>
      <c r="CY13" s="7">
        <f t="shared" si="76"/>
        <v>0</v>
      </c>
      <c r="CZ13" s="7">
        <f t="shared" si="76"/>
        <v>0</v>
      </c>
      <c r="DA13" s="7">
        <f t="shared" si="76"/>
        <v>0</v>
      </c>
      <c r="DB13" s="7">
        <f t="shared" si="76"/>
        <v>0</v>
      </c>
      <c r="DC13" s="7">
        <f t="shared" si="76"/>
        <v>0</v>
      </c>
      <c r="DD13" s="7">
        <f t="shared" si="76"/>
        <v>0</v>
      </c>
      <c r="DE13" s="37">
        <f t="shared" si="77"/>
        <v>0.05</v>
      </c>
      <c r="DF13" s="37">
        <f t="shared" si="78"/>
        <v>0.09</v>
      </c>
      <c r="DG13" s="7">
        <f t="shared" si="79"/>
        <v>0</v>
      </c>
      <c r="DH13" s="7">
        <f t="shared" si="80"/>
        <v>0</v>
      </c>
      <c r="DI13" s="7">
        <f t="shared" si="81"/>
        <v>0</v>
      </c>
      <c r="DJ13" s="7">
        <f t="shared" si="82"/>
        <v>0</v>
      </c>
      <c r="DK13" s="7">
        <f t="shared" si="83"/>
        <v>0</v>
      </c>
      <c r="DL13" s="7">
        <f t="shared" si="84"/>
        <v>0</v>
      </c>
      <c r="DM13" s="7">
        <f t="shared" si="85"/>
        <v>0</v>
      </c>
      <c r="DN13" s="7">
        <f t="shared" si="86"/>
        <v>0</v>
      </c>
      <c r="DO13" s="7">
        <f t="shared" si="87"/>
        <v>0</v>
      </c>
      <c r="DP13" s="7">
        <f t="shared" si="88"/>
        <v>0</v>
      </c>
      <c r="DQ13" s="7">
        <f t="shared" si="89"/>
        <v>785.66523948585734</v>
      </c>
      <c r="DR13" s="37">
        <f t="shared" si="90"/>
        <v>0.05</v>
      </c>
      <c r="DS13" s="7">
        <f t="shared" si="91"/>
        <v>1.9581444105712286E-2</v>
      </c>
      <c r="DT13" s="7" t="b">
        <f t="shared" si="92"/>
        <v>1</v>
      </c>
      <c r="DU13" s="7" t="b">
        <f t="shared" si="93"/>
        <v>0</v>
      </c>
      <c r="DV13" s="7" t="b">
        <f t="shared" si="94"/>
        <v>0</v>
      </c>
      <c r="DW13" s="7" t="b">
        <f t="shared" si="95"/>
        <v>1</v>
      </c>
      <c r="DX13" s="7" t="b">
        <f t="shared" si="96"/>
        <v>0</v>
      </c>
      <c r="DY13" s="207">
        <f t="shared" si="97"/>
        <v>0.85349037119011162</v>
      </c>
      <c r="DZ13" s="7">
        <f t="shared" si="98"/>
        <v>2833.8974870513757</v>
      </c>
      <c r="EA13" s="36">
        <f t="shared" si="99"/>
        <v>0.12</v>
      </c>
      <c r="EB13" s="51">
        <f t="shared" si="170"/>
        <v>2833.9378299075361</v>
      </c>
      <c r="EC13" s="7">
        <f t="shared" si="100"/>
        <v>26759.020292558973</v>
      </c>
      <c r="ED13" s="7">
        <f t="shared" si="101"/>
        <v>108766.19024087548</v>
      </c>
      <c r="EE13" s="7">
        <f t="shared" si="102"/>
        <v>231892.28576805955</v>
      </c>
      <c r="EF13" s="7">
        <f t="shared" si="103"/>
        <v>442792.58147902542</v>
      </c>
      <c r="EG13" s="7">
        <f t="shared" si="104"/>
        <v>562227.77765551175</v>
      </c>
      <c r="EH13" s="7">
        <f t="shared" si="105"/>
        <v>2675.9020292558976</v>
      </c>
      <c r="EI13" s="7">
        <f t="shared" si="106"/>
        <v>12516.762423053879</v>
      </c>
      <c r="EJ13" s="7">
        <f t="shared" si="107"/>
        <v>39604.503439034372</v>
      </c>
      <c r="EK13" s="7">
        <f t="shared" si="108"/>
        <v>90220.57440966618</v>
      </c>
      <c r="EL13" s="7">
        <f t="shared" si="109"/>
        <v>128439.83718614181</v>
      </c>
      <c r="EM13" s="7">
        <f t="shared" si="110"/>
        <v>237601.6457011702</v>
      </c>
      <c r="EN13" s="7">
        <f t="shared" si="111"/>
        <v>297578.76015000924</v>
      </c>
      <c r="EO13" s="7">
        <f t="shared" si="112"/>
        <v>371396.74716396508</v>
      </c>
      <c r="EP13" s="7">
        <f t="shared" si="113"/>
        <v>445214.73417792085</v>
      </c>
      <c r="EQ13" s="7">
        <f t="shared" si="114"/>
        <v>865054.53531979432</v>
      </c>
      <c r="ER13" s="7">
        <f t="shared" si="115"/>
        <v>4816.6236526606153</v>
      </c>
      <c r="ES13" s="10">
        <f t="shared" si="116"/>
        <v>1</v>
      </c>
      <c r="ET13" s="16">
        <f t="shared" si="117"/>
        <v>1</v>
      </c>
      <c r="EU13" s="16">
        <f t="shared" si="118"/>
        <v>24</v>
      </c>
      <c r="EV13" s="7">
        <f t="shared" si="119"/>
        <v>0</v>
      </c>
      <c r="EW13" s="37">
        <f t="shared" si="143"/>
        <v>2.3999489971421446E-2</v>
      </c>
      <c r="EX13" s="7">
        <f t="shared" si="120"/>
        <v>3619.6030693933935</v>
      </c>
      <c r="EY13" s="7">
        <f t="shared" si="171"/>
        <v>3089.2963672574347</v>
      </c>
      <c r="EZ13" s="37">
        <f t="shared" si="121"/>
        <v>0.16999999999999998</v>
      </c>
      <c r="FA13" s="37">
        <f t="shared" si="122"/>
        <v>5.316655946801005E-2</v>
      </c>
      <c r="FB13" s="7">
        <f t="shared" si="123"/>
        <v>64460.965302646735</v>
      </c>
      <c r="FC13" s="7">
        <f t="shared" si="173"/>
        <v>55016.813203428865</v>
      </c>
      <c r="FD13" s="7">
        <f t="shared" si="144"/>
        <v>2367.2253100343542</v>
      </c>
      <c r="FE13" s="7">
        <f t="shared" si="124"/>
        <v>55000</v>
      </c>
      <c r="FF13" s="7">
        <f t="shared" si="145"/>
        <v>35989.248819392335</v>
      </c>
      <c r="FG13" s="7">
        <f t="shared" si="146"/>
        <v>0</v>
      </c>
      <c r="FH13" s="7">
        <f t="shared" si="147"/>
        <v>8534.9037119011155</v>
      </c>
      <c r="FI13" s="7">
        <f t="shared" si="125"/>
        <v>0.26990714648480579</v>
      </c>
      <c r="FJ13" s="7">
        <f t="shared" si="148"/>
        <v>13581.30118721611</v>
      </c>
      <c r="FK13" s="7">
        <f t="shared" si="149"/>
        <v>0</v>
      </c>
      <c r="FL13" s="7">
        <f t="shared" si="150"/>
        <v>0.65585217674359242</v>
      </c>
      <c r="FM13" s="7">
        <f t="shared" si="151"/>
        <v>0</v>
      </c>
      <c r="FN13" s="7">
        <f t="shared" si="152"/>
        <v>0</v>
      </c>
      <c r="FO13" s="7">
        <f t="shared" si="153"/>
        <v>3.4432239279038601E-2</v>
      </c>
      <c r="FP13" s="7">
        <f t="shared" si="154"/>
        <v>2418.704218138203</v>
      </c>
      <c r="FQ13" s="7">
        <f t="shared" si="155"/>
        <v>670.5577168799523</v>
      </c>
      <c r="FR13" s="7">
        <f t="shared" si="156"/>
        <v>0</v>
      </c>
      <c r="FS13" s="7">
        <f t="shared" si="157"/>
        <v>30590.861496483481</v>
      </c>
      <c r="FT13" s="7">
        <f t="shared" si="158"/>
        <v>0.32167635909924602</v>
      </c>
      <c r="FU13" s="7">
        <f t="shared" si="159"/>
        <v>0.22954826186025734</v>
      </c>
      <c r="FV13" s="7">
        <f t="shared" si="160"/>
        <v>13581.30118721611</v>
      </c>
      <c r="FW13" s="7">
        <f t="shared" si="161"/>
        <v>0.32167635909924602</v>
      </c>
      <c r="FX13" s="7">
        <f t="shared" si="162"/>
        <v>0</v>
      </c>
      <c r="FY13" s="7">
        <f t="shared" si="163"/>
        <v>8534.9037119011155</v>
      </c>
      <c r="FZ13" s="7">
        <f t="shared" si="164"/>
        <v>0.22954826186025734</v>
      </c>
      <c r="GA13" s="7">
        <f t="shared" si="165"/>
        <v>0</v>
      </c>
      <c r="GB13" s="7">
        <f t="shared" si="166"/>
        <v>13581.30118721611</v>
      </c>
      <c r="GC13" s="7">
        <f t="shared" si="126"/>
        <v>0.23036315064018073</v>
      </c>
      <c r="GD13" s="7">
        <f t="shared" si="127"/>
        <v>495388.50186255039</v>
      </c>
      <c r="GE13" s="7">
        <f t="shared" si="128"/>
        <v>994115.61629197909</v>
      </c>
      <c r="GF13" s="7">
        <f t="shared" si="129"/>
        <v>40390.436404484113</v>
      </c>
      <c r="GG13" s="7">
        <f t="shared" si="130"/>
        <v>119662.72403781873</v>
      </c>
      <c r="GH13" s="7">
        <f t="shared" si="131"/>
        <v>0</v>
      </c>
      <c r="GI13" s="7">
        <f t="shared" si="132"/>
        <v>0</v>
      </c>
      <c r="GJ13" s="7">
        <v>1083886.46287461</v>
      </c>
      <c r="GK13" s="7">
        <v>238563.6333333333</v>
      </c>
    </row>
    <row r="14" spans="1:193" x14ac:dyDescent="0.55000000000000004">
      <c r="A14" s="60">
        <f t="shared" si="0"/>
        <v>2034</v>
      </c>
      <c r="B14" s="60">
        <f t="shared" si="1"/>
        <v>71</v>
      </c>
      <c r="C14" s="60">
        <f t="shared" si="2"/>
        <v>71</v>
      </c>
      <c r="D14" s="7">
        <f t="shared" si="3"/>
        <v>5000</v>
      </c>
      <c r="E14" s="7">
        <f t="shared" si="4"/>
        <v>5000</v>
      </c>
      <c r="F14" s="7">
        <f t="shared" si="5"/>
        <v>0</v>
      </c>
      <c r="G14" s="7">
        <f t="shared" si="6"/>
        <v>0</v>
      </c>
      <c r="H14" s="7">
        <f t="shared" si="7"/>
        <v>33196.059487156439</v>
      </c>
      <c r="I14" s="7">
        <f t="shared" si="8"/>
        <v>12496.428335806047</v>
      </c>
      <c r="J14" s="7">
        <f t="shared" si="9"/>
        <v>45692.487822962488</v>
      </c>
      <c r="K14" s="7">
        <f t="shared" si="10"/>
        <v>10000</v>
      </c>
      <c r="L14" s="7">
        <f t="shared" si="11"/>
        <v>0</v>
      </c>
      <c r="M14" s="7">
        <f t="shared" si="12"/>
        <v>10000</v>
      </c>
      <c r="N14" s="7">
        <f t="shared" si="13"/>
        <v>55692.487822962488</v>
      </c>
      <c r="O14" s="7">
        <f t="shared" si="14"/>
        <v>13571.696980184588</v>
      </c>
      <c r="P14" s="7">
        <v>0</v>
      </c>
      <c r="Q14" s="29">
        <v>8143.0181881107519</v>
      </c>
      <c r="R14" s="29">
        <v>5428.6787920738361</v>
      </c>
      <c r="S14" s="7">
        <v>0.76843210815099994</v>
      </c>
      <c r="T14" s="7">
        <f t="shared" si="15"/>
        <v>0.37689511958005562</v>
      </c>
      <c r="U14" s="7">
        <f t="shared" si="16"/>
        <v>0</v>
      </c>
      <c r="V14" s="7">
        <f t="shared" si="17"/>
        <v>0</v>
      </c>
      <c r="W14" s="7"/>
      <c r="X14" s="7"/>
      <c r="Y14" s="7">
        <f t="shared" si="18"/>
        <v>0</v>
      </c>
      <c r="Z14" s="7">
        <f t="shared" si="18"/>
        <v>0</v>
      </c>
      <c r="AA14" s="7">
        <f t="shared" si="19"/>
        <v>0.26895123785284997</v>
      </c>
      <c r="AB14" s="7"/>
      <c r="AC14" s="7">
        <f t="shared" si="20"/>
        <v>10.768431988001588</v>
      </c>
      <c r="AD14" s="7">
        <f t="shared" si="21"/>
        <v>0</v>
      </c>
      <c r="AE14" s="7">
        <f t="shared" si="22"/>
        <v>733030.6398110392</v>
      </c>
      <c r="AF14" s="9">
        <f t="shared" si="23"/>
        <v>439818.38388662343</v>
      </c>
      <c r="AG14" s="56">
        <f t="shared" si="24"/>
        <v>293212.25592441572</v>
      </c>
      <c r="AH14" s="165">
        <f t="shared" si="25"/>
        <v>0.84</v>
      </c>
      <c r="AI14" s="56">
        <f t="shared" si="133"/>
        <v>733041.40824302717</v>
      </c>
      <c r="AJ14" s="56">
        <f t="shared" si="26"/>
        <v>9.0105421711519096</v>
      </c>
      <c r="AK14" s="56">
        <f t="shared" si="27"/>
        <v>0</v>
      </c>
      <c r="AL14" s="56">
        <f t="shared" si="167"/>
        <v>515228.48824262852</v>
      </c>
      <c r="AM14" s="9">
        <f t="shared" si="168"/>
        <v>515237.49878479965</v>
      </c>
      <c r="AN14" s="9">
        <f t="shared" si="28"/>
        <v>0</v>
      </c>
      <c r="AO14" s="9">
        <f t="shared" si="29"/>
        <v>0</v>
      </c>
      <c r="AP14" s="9">
        <f t="shared" si="30"/>
        <v>0</v>
      </c>
      <c r="AQ14" s="9">
        <f t="shared" si="134"/>
        <v>56418.586738023259</v>
      </c>
      <c r="AR14" s="9">
        <f t="shared" si="31"/>
        <v>32000</v>
      </c>
      <c r="AS14" s="9">
        <f t="shared" si="32"/>
        <v>44000</v>
      </c>
      <c r="AT14" s="9">
        <f t="shared" si="33"/>
        <v>13571.696980184588</v>
      </c>
      <c r="AU14" s="9">
        <f t="shared" si="135"/>
        <v>38838.614649518116</v>
      </c>
      <c r="AV14" s="9">
        <f t="shared" si="136"/>
        <v>33572.342826542015</v>
      </c>
      <c r="AW14" s="7">
        <f t="shared" si="137"/>
        <v>69264.830649504511</v>
      </c>
      <c r="AX14" s="7">
        <f t="shared" si="138"/>
        <v>62410.957476060132</v>
      </c>
      <c r="AY14" s="7">
        <f t="shared" si="34"/>
        <v>0.64584635743290564</v>
      </c>
      <c r="AZ14" s="7">
        <f t="shared" si="139"/>
        <v>0</v>
      </c>
      <c r="BA14" s="7">
        <f t="shared" si="35"/>
        <v>0</v>
      </c>
      <c r="BB14" s="7">
        <f t="shared" si="36"/>
        <v>0</v>
      </c>
      <c r="BC14" s="7">
        <f t="shared" si="37"/>
        <v>4.0342685677927495E-2</v>
      </c>
      <c r="BD14" s="7">
        <f t="shared" si="38"/>
        <v>34285.686793469438</v>
      </c>
      <c r="BE14" s="7">
        <f t="shared" si="39"/>
        <v>21835.835877357626</v>
      </c>
      <c r="BF14" s="7">
        <f t="shared" si="140"/>
        <v>21835.835877357626</v>
      </c>
      <c r="BG14" s="7">
        <f t="shared" si="169"/>
        <v>28125.001731352844</v>
      </c>
      <c r="BH14" s="7">
        <f t="shared" si="172"/>
        <v>40574.852647464657</v>
      </c>
      <c r="BI14" s="7">
        <f t="shared" si="141"/>
        <v>28125.001731352844</v>
      </c>
      <c r="BJ14" s="7">
        <f t="shared" si="40"/>
        <v>0.37689511958005562</v>
      </c>
      <c r="BK14" s="7">
        <f t="shared" si="41"/>
        <v>0</v>
      </c>
      <c r="BL14" s="7">
        <f t="shared" si="42"/>
        <v>10000</v>
      </c>
      <c r="BM14" s="7">
        <f t="shared" si="43"/>
        <v>13571.696980184588</v>
      </c>
      <c r="BN14" s="7">
        <f t="shared" si="44"/>
        <v>0.26895123785284997</v>
      </c>
      <c r="BO14" s="7">
        <f t="shared" si="45"/>
        <v>0</v>
      </c>
      <c r="BP14" s="7">
        <f t="shared" si="142"/>
        <v>10200</v>
      </c>
      <c r="BQ14" s="7">
        <f t="shared" si="46"/>
        <v>10200</v>
      </c>
      <c r="BR14" s="7">
        <f t="shared" si="47"/>
        <v>0</v>
      </c>
      <c r="BS14" s="7">
        <f t="shared" si="48"/>
        <v>0</v>
      </c>
      <c r="BT14" s="7">
        <f t="shared" si="49"/>
        <v>13372.342826542019</v>
      </c>
      <c r="BU14" s="157">
        <f t="shared" si="50"/>
        <v>2.7398479743205442E-5</v>
      </c>
      <c r="BV14" s="51">
        <f t="shared" si="51"/>
        <v>0</v>
      </c>
      <c r="BW14" s="51">
        <f t="shared" si="52"/>
        <v>1000000</v>
      </c>
      <c r="BX14" s="51">
        <f t="shared" si="53"/>
        <v>10000000000</v>
      </c>
      <c r="BY14" s="51">
        <f t="shared" si="54"/>
        <v>10000000000</v>
      </c>
      <c r="BZ14" s="51">
        <f t="shared" si="55"/>
        <v>10000000000</v>
      </c>
      <c r="CA14" s="51">
        <f t="shared" si="56"/>
        <v>10000000000</v>
      </c>
      <c r="CB14" s="51">
        <f t="shared" si="57"/>
        <v>10000000000</v>
      </c>
      <c r="CC14" s="51">
        <f t="shared" si="58"/>
        <v>10000000000</v>
      </c>
      <c r="CD14" s="51">
        <f t="shared" si="59"/>
        <v>10000000000</v>
      </c>
      <c r="CE14" s="51">
        <f t="shared" si="60"/>
        <v>10000000000</v>
      </c>
      <c r="CF14" s="51">
        <f t="shared" si="61"/>
        <v>10000000000</v>
      </c>
      <c r="CG14" s="51">
        <f t="shared" si="62"/>
        <v>10000000000</v>
      </c>
      <c r="CH14" s="51">
        <f t="shared" si="63"/>
        <v>0</v>
      </c>
      <c r="CI14" s="51">
        <f t="shared" si="64"/>
        <v>1000000</v>
      </c>
      <c r="CJ14" s="51">
        <f t="shared" si="65"/>
        <v>10000000000</v>
      </c>
      <c r="CK14" s="51">
        <f t="shared" si="66"/>
        <v>10000000000</v>
      </c>
      <c r="CL14" s="51">
        <f t="shared" si="67"/>
        <v>10000000000</v>
      </c>
      <c r="CM14" s="51">
        <f t="shared" si="68"/>
        <v>10000000000</v>
      </c>
      <c r="CN14" s="51">
        <f t="shared" si="69"/>
        <v>10000000000</v>
      </c>
      <c r="CO14" s="51">
        <f t="shared" si="70"/>
        <v>10000000000</v>
      </c>
      <c r="CP14" s="51">
        <f t="shared" si="71"/>
        <v>10000000000</v>
      </c>
      <c r="CQ14" s="51">
        <f t="shared" si="72"/>
        <v>10000000000</v>
      </c>
      <c r="CR14" s="51">
        <f t="shared" si="73"/>
        <v>10000000000</v>
      </c>
      <c r="CS14" s="51">
        <f t="shared" si="74"/>
        <v>10000000000</v>
      </c>
      <c r="CT14" s="7">
        <f t="shared" si="75"/>
        <v>50000</v>
      </c>
      <c r="CU14" s="7">
        <f t="shared" si="76"/>
        <v>0</v>
      </c>
      <c r="CV14" s="7">
        <f t="shared" si="76"/>
        <v>0</v>
      </c>
      <c r="CW14" s="7">
        <f t="shared" si="76"/>
        <v>0</v>
      </c>
      <c r="CX14" s="7">
        <f t="shared" si="76"/>
        <v>0</v>
      </c>
      <c r="CY14" s="7">
        <f t="shared" si="76"/>
        <v>0</v>
      </c>
      <c r="CZ14" s="7">
        <f t="shared" si="76"/>
        <v>0</v>
      </c>
      <c r="DA14" s="7">
        <f t="shared" si="76"/>
        <v>0</v>
      </c>
      <c r="DB14" s="7">
        <f t="shared" si="76"/>
        <v>0</v>
      </c>
      <c r="DC14" s="7">
        <f t="shared" si="76"/>
        <v>0</v>
      </c>
      <c r="DD14" s="7">
        <f t="shared" si="76"/>
        <v>0</v>
      </c>
      <c r="DE14" s="37">
        <f t="shared" si="77"/>
        <v>0.05</v>
      </c>
      <c r="DF14" s="37">
        <f t="shared" si="78"/>
        <v>0.09</v>
      </c>
      <c r="DG14" s="7">
        <f t="shared" si="79"/>
        <v>0</v>
      </c>
      <c r="DH14" s="7">
        <f t="shared" si="80"/>
        <v>0</v>
      </c>
      <c r="DI14" s="7">
        <f t="shared" si="81"/>
        <v>0</v>
      </c>
      <c r="DJ14" s="7">
        <f t="shared" si="82"/>
        <v>0</v>
      </c>
      <c r="DK14" s="7">
        <f t="shared" si="83"/>
        <v>0</v>
      </c>
      <c r="DL14" s="7">
        <f t="shared" si="84"/>
        <v>0</v>
      </c>
      <c r="DM14" s="7">
        <f t="shared" si="85"/>
        <v>0</v>
      </c>
      <c r="DN14" s="7">
        <f t="shared" si="86"/>
        <v>0</v>
      </c>
      <c r="DO14" s="7">
        <f t="shared" si="87"/>
        <v>0</v>
      </c>
      <c r="DP14" s="7">
        <f t="shared" si="88"/>
        <v>0</v>
      </c>
      <c r="DQ14" s="7">
        <f t="shared" si="89"/>
        <v>668.61714132710097</v>
      </c>
      <c r="DR14" s="37">
        <f t="shared" si="90"/>
        <v>0.05</v>
      </c>
      <c r="DS14" s="7">
        <f t="shared" si="91"/>
        <v>1.8319093202610506E-2</v>
      </c>
      <c r="DT14" s="7" t="b">
        <f t="shared" si="92"/>
        <v>1</v>
      </c>
      <c r="DU14" s="7" t="b">
        <f t="shared" si="93"/>
        <v>0</v>
      </c>
      <c r="DV14" s="7" t="b">
        <f t="shared" si="94"/>
        <v>0</v>
      </c>
      <c r="DW14" s="7" t="b">
        <f t="shared" si="95"/>
        <v>1</v>
      </c>
      <c r="DX14" s="7" t="b">
        <f t="shared" si="96"/>
        <v>0</v>
      </c>
      <c r="DY14" s="207">
        <f t="shared" si="97"/>
        <v>0.83675526587265847</v>
      </c>
      <c r="DZ14" s="7">
        <f t="shared" si="98"/>
        <v>2830.1865546058411</v>
      </c>
      <c r="EA14" s="36">
        <f t="shared" si="99"/>
        <v>0.12</v>
      </c>
      <c r="EB14" s="51">
        <f t="shared" si="170"/>
        <v>2830.226897291519</v>
      </c>
      <c r="EC14" s="7">
        <f t="shared" si="100"/>
        <v>27240.682657825033</v>
      </c>
      <c r="ED14" s="7">
        <f t="shared" si="101"/>
        <v>110723.98166521123</v>
      </c>
      <c r="EE14" s="7">
        <f t="shared" si="102"/>
        <v>236066.34691188461</v>
      </c>
      <c r="EF14" s="7">
        <f t="shared" si="103"/>
        <v>450762.84794564784</v>
      </c>
      <c r="EG14" s="7">
        <f t="shared" si="104"/>
        <v>572347.87765331089</v>
      </c>
      <c r="EH14" s="7">
        <f t="shared" si="105"/>
        <v>2724.0682657825037</v>
      </c>
      <c r="EI14" s="7">
        <f t="shared" si="106"/>
        <v>12742.064146668847</v>
      </c>
      <c r="EJ14" s="7">
        <f t="shared" si="107"/>
        <v>40317.384500936991</v>
      </c>
      <c r="EK14" s="7">
        <f t="shared" si="108"/>
        <v>91844.544749040157</v>
      </c>
      <c r="EL14" s="7">
        <f t="shared" si="109"/>
        <v>130751.75425549233</v>
      </c>
      <c r="EM14" s="7">
        <f t="shared" si="110"/>
        <v>241878.47532379124</v>
      </c>
      <c r="EN14" s="7">
        <f t="shared" si="111"/>
        <v>302935.17783270939</v>
      </c>
      <c r="EO14" s="7">
        <f t="shared" si="112"/>
        <v>378081.8886129164</v>
      </c>
      <c r="EP14" s="7">
        <f t="shared" si="113"/>
        <v>453228.59939312341</v>
      </c>
      <c r="EQ14" s="7">
        <f t="shared" si="114"/>
        <v>880625.51695555064</v>
      </c>
      <c r="ER14" s="7">
        <f t="shared" si="115"/>
        <v>4903.3228784085059</v>
      </c>
      <c r="ES14" s="10">
        <f t="shared" si="116"/>
        <v>1</v>
      </c>
      <c r="ET14" s="16">
        <f t="shared" si="117"/>
        <v>1</v>
      </c>
      <c r="EU14" s="16">
        <f t="shared" si="118"/>
        <v>24</v>
      </c>
      <c r="EV14" s="7">
        <f t="shared" si="119"/>
        <v>0</v>
      </c>
      <c r="EW14" s="37">
        <f t="shared" si="143"/>
        <v>1.9510794551497138E-2</v>
      </c>
      <c r="EX14" s="7">
        <f t="shared" si="120"/>
        <v>3498.8440386186198</v>
      </c>
      <c r="EY14" s="7">
        <f t="shared" si="171"/>
        <v>2927.6761737812894</v>
      </c>
      <c r="EZ14" s="37">
        <f t="shared" si="121"/>
        <v>0.16999999999999998</v>
      </c>
      <c r="FA14" s="37">
        <f t="shared" si="122"/>
        <v>5.0514005532238303E-2</v>
      </c>
      <c r="FB14" s="7">
        <f t="shared" si="123"/>
        <v>65766.109196636593</v>
      </c>
      <c r="FC14" s="7">
        <f t="shared" si="173"/>
        <v>55030.138186241944</v>
      </c>
      <c r="FD14" s="7">
        <f t="shared" si="144"/>
        <v>2354.029584103962</v>
      </c>
      <c r="FE14" s="7">
        <f t="shared" si="124"/>
        <v>55000</v>
      </c>
      <c r="FF14" s="7">
        <f t="shared" si="145"/>
        <v>38233.429796686185</v>
      </c>
      <c r="FG14" s="7">
        <f t="shared" si="146"/>
        <v>0</v>
      </c>
      <c r="FH14" s="7">
        <f t="shared" si="147"/>
        <v>8367.5526587265849</v>
      </c>
      <c r="FI14" s="7">
        <f t="shared" si="125"/>
        <v>0.29486456712561943</v>
      </c>
      <c r="FJ14" s="7">
        <f t="shared" si="148"/>
        <v>11356.18891499751</v>
      </c>
      <c r="FK14" s="7">
        <f t="shared" si="149"/>
        <v>0</v>
      </c>
      <c r="FL14" s="7">
        <f t="shared" si="150"/>
        <v>0.64298961296097745</v>
      </c>
      <c r="FM14" s="7">
        <f t="shared" si="151"/>
        <v>0</v>
      </c>
      <c r="FN14" s="7">
        <f t="shared" si="152"/>
        <v>0</v>
      </c>
      <c r="FO14" s="7">
        <f t="shared" si="153"/>
        <v>3.3756954680451312E-2</v>
      </c>
      <c r="FP14" s="7">
        <f t="shared" si="154"/>
        <v>2368.1735029684337</v>
      </c>
      <c r="FQ14" s="7">
        <f t="shared" si="155"/>
        <v>559.46891385817526</v>
      </c>
      <c r="FR14" s="7">
        <f t="shared" si="156"/>
        <v>0</v>
      </c>
      <c r="FS14" s="7">
        <f t="shared" si="157"/>
        <v>32498.415327183258</v>
      </c>
      <c r="FT14" s="7">
        <f t="shared" si="158"/>
        <v>0.31536897599031682</v>
      </c>
      <c r="FU14" s="7">
        <f t="shared" si="159"/>
        <v>0.22504636453634208</v>
      </c>
      <c r="FV14" s="7">
        <f t="shared" si="160"/>
        <v>11356.18891499751</v>
      </c>
      <c r="FW14" s="7">
        <f t="shared" si="161"/>
        <v>0.31536897599031682</v>
      </c>
      <c r="FX14" s="7">
        <f t="shared" si="162"/>
        <v>0</v>
      </c>
      <c r="FY14" s="7">
        <f t="shared" si="163"/>
        <v>8367.5526587265849</v>
      </c>
      <c r="FZ14" s="7">
        <f t="shared" si="164"/>
        <v>0.22504636453634208</v>
      </c>
      <c r="GA14" s="7">
        <f t="shared" si="165"/>
        <v>0</v>
      </c>
      <c r="GB14" s="7">
        <f t="shared" si="166"/>
        <v>11356.18891499751</v>
      </c>
      <c r="GC14" s="7">
        <f t="shared" si="126"/>
        <v>0.24672947926162403</v>
      </c>
      <c r="GD14" s="7">
        <f t="shared" si="127"/>
        <v>550418.64004879235</v>
      </c>
      <c r="GE14" s="7">
        <f t="shared" si="128"/>
        <v>1065656.1388335919</v>
      </c>
      <c r="GF14" s="7">
        <f t="shared" si="129"/>
        <v>43318.112578265405</v>
      </c>
      <c r="GG14" s="7">
        <f t="shared" si="130"/>
        <v>157896.15383450492</v>
      </c>
      <c r="GH14" s="7">
        <f t="shared" si="131"/>
        <v>0</v>
      </c>
      <c r="GI14" s="7">
        <f t="shared" si="132"/>
        <v>0</v>
      </c>
      <c r="GJ14" s="7">
        <v>1142114.3367471709</v>
      </c>
      <c r="GK14" s="7">
        <v>265318.43333333329</v>
      </c>
    </row>
    <row r="15" spans="1:193" x14ac:dyDescent="0.55000000000000004">
      <c r="A15" s="60">
        <f t="shared" si="0"/>
        <v>2035</v>
      </c>
      <c r="B15" s="60">
        <f t="shared" si="1"/>
        <v>72</v>
      </c>
      <c r="C15" s="60">
        <f t="shared" si="2"/>
        <v>72</v>
      </c>
      <c r="D15" s="7">
        <f t="shared" si="3"/>
        <v>5000</v>
      </c>
      <c r="E15" s="7">
        <f t="shared" si="4"/>
        <v>5000</v>
      </c>
      <c r="F15" s="7">
        <f t="shared" si="5"/>
        <v>0</v>
      </c>
      <c r="G15" s="7">
        <f t="shared" si="6"/>
        <v>0</v>
      </c>
      <c r="H15" s="7">
        <f t="shared" si="7"/>
        <v>33793.588557925257</v>
      </c>
      <c r="I15" s="7">
        <f t="shared" si="8"/>
        <v>12721.364045850558</v>
      </c>
      <c r="J15" s="7">
        <f t="shared" si="9"/>
        <v>46514.952603775819</v>
      </c>
      <c r="K15" s="7">
        <f t="shared" si="10"/>
        <v>10000</v>
      </c>
      <c r="L15" s="7">
        <f t="shared" si="11"/>
        <v>0</v>
      </c>
      <c r="M15" s="7">
        <f t="shared" si="12"/>
        <v>10000</v>
      </c>
      <c r="N15" s="7">
        <f t="shared" si="13"/>
        <v>56514.952603775819</v>
      </c>
      <c r="O15" s="7">
        <f t="shared" si="14"/>
        <v>14167.96418815455</v>
      </c>
      <c r="P15" s="7">
        <v>0</v>
      </c>
      <c r="Q15" s="29">
        <v>8500.7785128927299</v>
      </c>
      <c r="R15" s="29">
        <v>5667.1856752618214</v>
      </c>
      <c r="S15" s="7">
        <v>0.76843198800158774</v>
      </c>
      <c r="T15" s="7">
        <f t="shared" si="15"/>
        <v>0.37689511942446213</v>
      </c>
      <c r="U15" s="7">
        <f t="shared" si="16"/>
        <v>0</v>
      </c>
      <c r="V15" s="7">
        <f t="shared" si="17"/>
        <v>0</v>
      </c>
      <c r="W15" s="7"/>
      <c r="X15" s="7"/>
      <c r="Y15" s="7">
        <f t="shared" si="18"/>
        <v>0</v>
      </c>
      <c r="Z15" s="7">
        <f t="shared" si="18"/>
        <v>0</v>
      </c>
      <c r="AA15" s="7">
        <f t="shared" si="19"/>
        <v>0.26895119580055571</v>
      </c>
      <c r="AB15" s="7"/>
      <c r="AC15" s="7">
        <f t="shared" si="20"/>
        <v>10.768431983556059</v>
      </c>
      <c r="AD15" s="7">
        <f t="shared" si="21"/>
        <v>0</v>
      </c>
      <c r="AE15" s="7">
        <f t="shared" si="22"/>
        <v>772582.72829393984</v>
      </c>
      <c r="AF15" s="9">
        <f t="shared" si="23"/>
        <v>463549.63697636378</v>
      </c>
      <c r="AG15" s="56">
        <f t="shared" si="24"/>
        <v>309033.09131757607</v>
      </c>
      <c r="AH15" s="165">
        <f t="shared" si="25"/>
        <v>0.84</v>
      </c>
      <c r="AI15" s="56">
        <f t="shared" si="133"/>
        <v>772593.49672592338</v>
      </c>
      <c r="AJ15" s="56">
        <f t="shared" si="26"/>
        <v>8.8338648700314604</v>
      </c>
      <c r="AK15" s="56">
        <f t="shared" si="27"/>
        <v>0</v>
      </c>
      <c r="AL15" s="56">
        <f t="shared" si="167"/>
        <v>532381.01924182777</v>
      </c>
      <c r="AM15" s="9">
        <f t="shared" si="168"/>
        <v>532389.85310669779</v>
      </c>
      <c r="AN15" s="9">
        <f t="shared" si="28"/>
        <v>0</v>
      </c>
      <c r="AO15" s="9">
        <f t="shared" si="29"/>
        <v>0</v>
      </c>
      <c r="AP15" s="9">
        <f t="shared" si="30"/>
        <v>0</v>
      </c>
      <c r="AQ15" s="9">
        <f t="shared" si="134"/>
        <v>57426.086336357686</v>
      </c>
      <c r="AR15" s="9">
        <f t="shared" si="31"/>
        <v>32000</v>
      </c>
      <c r="AS15" s="9">
        <f t="shared" si="32"/>
        <v>44000</v>
      </c>
      <c r="AT15" s="9">
        <f t="shared" si="33"/>
        <v>14167.96418815455</v>
      </c>
      <c r="AU15" s="9">
        <f t="shared" si="135"/>
        <v>39537.709713209442</v>
      </c>
      <c r="AV15" s="9">
        <f t="shared" si="136"/>
        <v>34168.610034469777</v>
      </c>
      <c r="AW15" s="7">
        <f t="shared" si="137"/>
        <v>70683.562638245596</v>
      </c>
      <c r="AX15" s="7">
        <f t="shared" si="138"/>
        <v>63706.319747679212</v>
      </c>
      <c r="AY15" s="7">
        <f t="shared" si="34"/>
        <v>0.64584631522501779</v>
      </c>
      <c r="AZ15" s="7">
        <f t="shared" si="139"/>
        <v>0</v>
      </c>
      <c r="BA15" s="7">
        <f t="shared" si="35"/>
        <v>0</v>
      </c>
      <c r="BB15" s="7">
        <f t="shared" si="36"/>
        <v>0</v>
      </c>
      <c r="BC15" s="7">
        <f t="shared" si="37"/>
        <v>4.0342679370083352E-2</v>
      </c>
      <c r="BD15" s="7">
        <f t="shared" si="38"/>
        <v>34902.82915575189</v>
      </c>
      <c r="BE15" s="7">
        <f t="shared" si="39"/>
        <v>21865.649237754013</v>
      </c>
      <c r="BF15" s="7">
        <f t="shared" si="140"/>
        <v>21865.649237754013</v>
      </c>
      <c r="BG15" s="7">
        <f t="shared" si="169"/>
        <v>28803.221640731521</v>
      </c>
      <c r="BH15" s="7">
        <f t="shared" si="172"/>
        <v>41840.401558729398</v>
      </c>
      <c r="BI15" s="7">
        <f t="shared" si="141"/>
        <v>28803.221640731521</v>
      </c>
      <c r="BJ15" s="7">
        <f t="shared" si="40"/>
        <v>0.37689511942446213</v>
      </c>
      <c r="BK15" s="7">
        <f t="shared" si="41"/>
        <v>0</v>
      </c>
      <c r="BL15" s="7">
        <f t="shared" si="42"/>
        <v>10000</v>
      </c>
      <c r="BM15" s="7">
        <f t="shared" si="43"/>
        <v>14167.96418815455</v>
      </c>
      <c r="BN15" s="7">
        <f t="shared" si="44"/>
        <v>0.26895119580055571</v>
      </c>
      <c r="BO15" s="7">
        <f t="shared" si="45"/>
        <v>0</v>
      </c>
      <c r="BP15" s="7">
        <f t="shared" si="142"/>
        <v>10200</v>
      </c>
      <c r="BQ15" s="7">
        <f t="shared" si="46"/>
        <v>10200</v>
      </c>
      <c r="BR15" s="7">
        <f t="shared" si="47"/>
        <v>0</v>
      </c>
      <c r="BS15" s="7">
        <f t="shared" si="48"/>
        <v>0</v>
      </c>
      <c r="BT15" s="7">
        <f t="shared" si="49"/>
        <v>13968.610034469777</v>
      </c>
      <c r="BU15" s="157">
        <f t="shared" si="50"/>
        <v>2.6722526214949814E-5</v>
      </c>
      <c r="BV15" s="51">
        <f t="shared" si="51"/>
        <v>0</v>
      </c>
      <c r="BW15" s="51">
        <f t="shared" si="52"/>
        <v>1000000</v>
      </c>
      <c r="BX15" s="51">
        <f t="shared" si="53"/>
        <v>10000000000</v>
      </c>
      <c r="BY15" s="51">
        <f t="shared" si="54"/>
        <v>10000000000</v>
      </c>
      <c r="BZ15" s="51">
        <f t="shared" si="55"/>
        <v>10000000000</v>
      </c>
      <c r="CA15" s="51">
        <f t="shared" si="56"/>
        <v>10000000000</v>
      </c>
      <c r="CB15" s="51">
        <f t="shared" si="57"/>
        <v>10000000000</v>
      </c>
      <c r="CC15" s="51">
        <f t="shared" si="58"/>
        <v>10000000000</v>
      </c>
      <c r="CD15" s="51">
        <f t="shared" si="59"/>
        <v>10000000000</v>
      </c>
      <c r="CE15" s="51">
        <f t="shared" si="60"/>
        <v>10000000000</v>
      </c>
      <c r="CF15" s="51">
        <f t="shared" si="61"/>
        <v>10000000000</v>
      </c>
      <c r="CG15" s="51">
        <f t="shared" si="62"/>
        <v>10000000000</v>
      </c>
      <c r="CH15" s="51">
        <f t="shared" si="63"/>
        <v>0</v>
      </c>
      <c r="CI15" s="51">
        <f t="shared" si="64"/>
        <v>1000000</v>
      </c>
      <c r="CJ15" s="51">
        <f t="shared" si="65"/>
        <v>10000000000</v>
      </c>
      <c r="CK15" s="51">
        <f t="shared" si="66"/>
        <v>10000000000</v>
      </c>
      <c r="CL15" s="51">
        <f t="shared" si="67"/>
        <v>10000000000</v>
      </c>
      <c r="CM15" s="51">
        <f t="shared" si="68"/>
        <v>10000000000</v>
      </c>
      <c r="CN15" s="51">
        <f t="shared" si="69"/>
        <v>10000000000</v>
      </c>
      <c r="CO15" s="51">
        <f t="shared" si="70"/>
        <v>10000000000</v>
      </c>
      <c r="CP15" s="51">
        <f t="shared" si="71"/>
        <v>10000000000</v>
      </c>
      <c r="CQ15" s="51">
        <f t="shared" si="72"/>
        <v>10000000000</v>
      </c>
      <c r="CR15" s="51">
        <f t="shared" si="73"/>
        <v>10000000000</v>
      </c>
      <c r="CS15" s="51">
        <f t="shared" si="74"/>
        <v>10000000000</v>
      </c>
      <c r="CT15" s="7">
        <f t="shared" si="75"/>
        <v>50000</v>
      </c>
      <c r="CU15" s="7">
        <f t="shared" si="76"/>
        <v>0</v>
      </c>
      <c r="CV15" s="7">
        <f t="shared" si="76"/>
        <v>0</v>
      </c>
      <c r="CW15" s="7">
        <f t="shared" si="76"/>
        <v>0</v>
      </c>
      <c r="CX15" s="7">
        <f t="shared" si="76"/>
        <v>0</v>
      </c>
      <c r="CY15" s="7">
        <f t="shared" si="76"/>
        <v>0</v>
      </c>
      <c r="CZ15" s="7">
        <f t="shared" si="76"/>
        <v>0</v>
      </c>
      <c r="DA15" s="7">
        <f t="shared" si="76"/>
        <v>0</v>
      </c>
      <c r="DB15" s="7">
        <f t="shared" si="76"/>
        <v>0</v>
      </c>
      <c r="DC15" s="7">
        <f t="shared" si="76"/>
        <v>0</v>
      </c>
      <c r="DD15" s="7">
        <f t="shared" si="76"/>
        <v>0</v>
      </c>
      <c r="DE15" s="37">
        <f t="shared" si="77"/>
        <v>0.05</v>
      </c>
      <c r="DF15" s="37">
        <f t="shared" si="78"/>
        <v>0.09</v>
      </c>
      <c r="DG15" s="7">
        <f t="shared" si="79"/>
        <v>0</v>
      </c>
      <c r="DH15" s="7">
        <f t="shared" si="80"/>
        <v>0</v>
      </c>
      <c r="DI15" s="7">
        <f t="shared" si="81"/>
        <v>0</v>
      </c>
      <c r="DJ15" s="7">
        <f t="shared" si="82"/>
        <v>0</v>
      </c>
      <c r="DK15" s="7">
        <f t="shared" si="83"/>
        <v>0</v>
      </c>
      <c r="DL15" s="7">
        <f t="shared" si="84"/>
        <v>0</v>
      </c>
      <c r="DM15" s="7">
        <f t="shared" si="85"/>
        <v>0</v>
      </c>
      <c r="DN15" s="7">
        <f t="shared" si="86"/>
        <v>0</v>
      </c>
      <c r="DO15" s="7">
        <f t="shared" si="87"/>
        <v>0</v>
      </c>
      <c r="DP15" s="7">
        <f t="shared" si="88"/>
        <v>0</v>
      </c>
      <c r="DQ15" s="7">
        <f t="shared" si="89"/>
        <v>698.43050172348887</v>
      </c>
      <c r="DR15" s="37">
        <f t="shared" si="90"/>
        <v>0.05</v>
      </c>
      <c r="DS15" s="7">
        <f t="shared" si="91"/>
        <v>1.8663827391626482E-2</v>
      </c>
      <c r="DT15" s="7" t="b">
        <f t="shared" si="92"/>
        <v>0</v>
      </c>
      <c r="DU15" s="7" t="b">
        <f t="shared" si="93"/>
        <v>0</v>
      </c>
      <c r="DV15" s="7" t="b">
        <f t="shared" si="94"/>
        <v>0</v>
      </c>
      <c r="DW15" s="7" t="b">
        <f t="shared" si="95"/>
        <v>1</v>
      </c>
      <c r="DX15" s="7" t="b">
        <f t="shared" si="96"/>
        <v>0</v>
      </c>
      <c r="DY15" s="207">
        <f t="shared" si="97"/>
        <v>0.82034829987515534</v>
      </c>
      <c r="DZ15" s="7">
        <f t="shared" si="98"/>
        <v>2901.766297974465</v>
      </c>
      <c r="EA15" s="36">
        <f t="shared" si="99"/>
        <v>0.12</v>
      </c>
      <c r="EB15" s="51">
        <f t="shared" si="170"/>
        <v>2901.8066406538351</v>
      </c>
      <c r="EC15" s="7">
        <f t="shared" si="100"/>
        <v>27731.014945665887</v>
      </c>
      <c r="ED15" s="7">
        <f t="shared" si="101"/>
        <v>112717.01333518505</v>
      </c>
      <c r="EE15" s="7">
        <f t="shared" si="102"/>
        <v>240315.54115629857</v>
      </c>
      <c r="EF15" s="7">
        <f t="shared" si="103"/>
        <v>458876.5792086696</v>
      </c>
      <c r="EG15" s="7">
        <f t="shared" si="104"/>
        <v>582650.13945107057</v>
      </c>
      <c r="EH15" s="7">
        <f t="shared" si="105"/>
        <v>2773.1014945665888</v>
      </c>
      <c r="EI15" s="7">
        <f t="shared" si="106"/>
        <v>12971.421301308888</v>
      </c>
      <c r="EJ15" s="7">
        <f t="shared" si="107"/>
        <v>41043.097421953862</v>
      </c>
      <c r="EK15" s="7">
        <f t="shared" si="108"/>
        <v>93497.746554522906</v>
      </c>
      <c r="EL15" s="7">
        <f t="shared" si="109"/>
        <v>133105.28583209123</v>
      </c>
      <c r="EM15" s="7">
        <f t="shared" si="110"/>
        <v>246232.28787961951</v>
      </c>
      <c r="EN15" s="7">
        <f t="shared" si="111"/>
        <v>308388.01103369822</v>
      </c>
      <c r="EO15" s="7">
        <f t="shared" si="112"/>
        <v>384887.36260794895</v>
      </c>
      <c r="EP15" s="7">
        <f t="shared" si="113"/>
        <v>461386.71418219968</v>
      </c>
      <c r="EQ15" s="7">
        <f t="shared" si="114"/>
        <v>896476.77626075072</v>
      </c>
      <c r="ER15" s="7">
        <f t="shared" si="115"/>
        <v>4991.5826902198596</v>
      </c>
      <c r="ES15" s="10">
        <f t="shared" si="116"/>
        <v>1</v>
      </c>
      <c r="ET15" s="16">
        <f t="shared" si="117"/>
        <v>1</v>
      </c>
      <c r="EU15" s="16">
        <f t="shared" si="118"/>
        <v>24</v>
      </c>
      <c r="EV15" s="7">
        <f t="shared" si="119"/>
        <v>0</v>
      </c>
      <c r="EW15" s="37">
        <f t="shared" si="143"/>
        <v>1.9328693387325201E-2</v>
      </c>
      <c r="EX15" s="7">
        <f t="shared" si="120"/>
        <v>3600.2371423773238</v>
      </c>
      <c r="EY15" s="7">
        <f t="shared" si="171"/>
        <v>2953.4484188966253</v>
      </c>
      <c r="EZ15" s="37">
        <f t="shared" si="121"/>
        <v>0.16999999999999998</v>
      </c>
      <c r="FA15" s="37">
        <f t="shared" si="122"/>
        <v>5.0934573866955893E-2</v>
      </c>
      <c r="FB15" s="7">
        <f t="shared" si="123"/>
        <v>67083.44808154105</v>
      </c>
      <c r="FC15" s="7">
        <f t="shared" si="173"/>
        <v>55031.792583455448</v>
      </c>
      <c r="FD15" s="7">
        <f t="shared" si="144"/>
        <v>2361.4529128884456</v>
      </c>
      <c r="FE15" s="7">
        <f t="shared" si="124"/>
        <v>55000</v>
      </c>
      <c r="FF15" s="7">
        <f t="shared" si="145"/>
        <v>38158.46228728092</v>
      </c>
      <c r="FG15" s="7">
        <f t="shared" si="146"/>
        <v>0</v>
      </c>
      <c r="FH15" s="7">
        <f t="shared" si="147"/>
        <v>8203.4829987515532</v>
      </c>
      <c r="FI15" s="7">
        <f t="shared" si="125"/>
        <v>0.2880424107426014</v>
      </c>
      <c r="FJ15" s="7">
        <f t="shared" si="148"/>
        <v>11622.665334444671</v>
      </c>
      <c r="FK15" s="7">
        <f t="shared" si="149"/>
        <v>0</v>
      </c>
      <c r="FL15" s="7">
        <f t="shared" si="150"/>
        <v>0.63038187492678832</v>
      </c>
      <c r="FM15" s="7">
        <f t="shared" si="151"/>
        <v>0</v>
      </c>
      <c r="FN15" s="7">
        <f t="shared" si="152"/>
        <v>0</v>
      </c>
      <c r="FO15" s="7">
        <f t="shared" si="153"/>
        <v>3.3095048433656384E-2</v>
      </c>
      <c r="FP15" s="7">
        <f t="shared" si="154"/>
        <v>2380.4590491783756</v>
      </c>
      <c r="FQ15" s="7">
        <f t="shared" si="155"/>
        <v>572.9562746698158</v>
      </c>
      <c r="FR15" s="7">
        <f t="shared" si="156"/>
        <v>0</v>
      </c>
      <c r="FS15" s="7">
        <f t="shared" si="157"/>
        <v>32434.692944188781</v>
      </c>
      <c r="FT15" s="7">
        <f t="shared" si="158"/>
        <v>0.30918527045110117</v>
      </c>
      <c r="FU15" s="7">
        <f t="shared" si="159"/>
        <v>0.22063365622437589</v>
      </c>
      <c r="FV15" s="7">
        <f t="shared" si="160"/>
        <v>11622.665334444671</v>
      </c>
      <c r="FW15" s="7">
        <f t="shared" si="161"/>
        <v>0.30918527045110117</v>
      </c>
      <c r="FX15" s="7">
        <f t="shared" si="162"/>
        <v>0</v>
      </c>
      <c r="FY15" s="7">
        <f t="shared" si="163"/>
        <v>8203.4829987515532</v>
      </c>
      <c r="FZ15" s="7">
        <f t="shared" si="164"/>
        <v>0.22063365622437589</v>
      </c>
      <c r="GA15" s="7">
        <f t="shared" si="165"/>
        <v>0</v>
      </c>
      <c r="GB15" s="7">
        <f t="shared" si="166"/>
        <v>11622.665334444671</v>
      </c>
      <c r="GC15" s="7">
        <f t="shared" si="126"/>
        <v>0.23629510194463424</v>
      </c>
      <c r="GD15" s="7">
        <f t="shared" si="127"/>
        <v>605450.4326322478</v>
      </c>
      <c r="GE15" s="7">
        <f t="shared" si="128"/>
        <v>1137840.2857389455</v>
      </c>
      <c r="GF15" s="7">
        <f t="shared" si="129"/>
        <v>46271.560997162029</v>
      </c>
      <c r="GG15" s="7">
        <f t="shared" si="130"/>
        <v>196054.61612178583</v>
      </c>
      <c r="GH15" s="7">
        <f t="shared" si="131"/>
        <v>0</v>
      </c>
      <c r="GI15" s="7">
        <f t="shared" si="132"/>
        <v>0</v>
      </c>
      <c r="GJ15" s="7">
        <v>1196753.3481198959</v>
      </c>
      <c r="GK15" s="7">
        <v>292073.23333333328</v>
      </c>
    </row>
    <row r="16" spans="1:193" x14ac:dyDescent="0.55000000000000004">
      <c r="A16" s="60">
        <f t="shared" si="0"/>
        <v>2036</v>
      </c>
      <c r="B16" s="60">
        <f t="shared" si="1"/>
        <v>73</v>
      </c>
      <c r="C16" s="60">
        <f t="shared" si="2"/>
        <v>73</v>
      </c>
      <c r="D16" s="7">
        <f t="shared" si="3"/>
        <v>5000</v>
      </c>
      <c r="E16" s="7">
        <f t="shared" si="4"/>
        <v>5000</v>
      </c>
      <c r="F16" s="7">
        <f t="shared" si="5"/>
        <v>0</v>
      </c>
      <c r="G16" s="7">
        <f t="shared" si="6"/>
        <v>0</v>
      </c>
      <c r="H16" s="7">
        <f t="shared" si="7"/>
        <v>34401.873151967913</v>
      </c>
      <c r="I16" s="7">
        <f t="shared" si="8"/>
        <v>12950.348598675868</v>
      </c>
      <c r="J16" s="7">
        <f t="shared" si="9"/>
        <v>47352.221750643781</v>
      </c>
      <c r="K16" s="7">
        <f t="shared" si="10"/>
        <v>10000</v>
      </c>
      <c r="L16" s="7">
        <f t="shared" si="11"/>
        <v>0</v>
      </c>
      <c r="M16" s="7">
        <f t="shared" si="12"/>
        <v>10000</v>
      </c>
      <c r="N16" s="7">
        <f t="shared" si="13"/>
        <v>57352.221750643781</v>
      </c>
      <c r="O16" s="7">
        <f t="shared" si="14"/>
        <v>14775.938174752257</v>
      </c>
      <c r="P16" s="7">
        <v>0</v>
      </c>
      <c r="Q16" s="29">
        <v>8865.562904851351</v>
      </c>
      <c r="R16" s="29">
        <v>5910.3752699009056</v>
      </c>
      <c r="S16" s="7">
        <v>0.76843198355605935</v>
      </c>
      <c r="T16" s="7">
        <f t="shared" si="15"/>
        <v>0.37689511941870513</v>
      </c>
      <c r="U16" s="7">
        <f t="shared" si="16"/>
        <v>0</v>
      </c>
      <c r="V16" s="7">
        <f t="shared" si="17"/>
        <v>0</v>
      </c>
      <c r="W16" s="7"/>
      <c r="X16" s="7"/>
      <c r="Y16" s="7">
        <f t="shared" si="18"/>
        <v>0</v>
      </c>
      <c r="Z16" s="7">
        <f t="shared" si="18"/>
        <v>0</v>
      </c>
      <c r="AA16" s="7">
        <f t="shared" si="19"/>
        <v>0.26895119424462077</v>
      </c>
      <c r="AB16" s="7"/>
      <c r="AC16" s="7">
        <f t="shared" si="20"/>
        <v>10.768431983391574</v>
      </c>
      <c r="AD16" s="7">
        <f t="shared" si="21"/>
        <v>0</v>
      </c>
      <c r="AE16" s="7">
        <f t="shared" si="22"/>
        <v>814431.20230047335</v>
      </c>
      <c r="AF16" s="9">
        <f t="shared" si="23"/>
        <v>488658.72138028382</v>
      </c>
      <c r="AG16" s="56">
        <f t="shared" si="24"/>
        <v>325772.48092018947</v>
      </c>
      <c r="AH16" s="165">
        <f t="shared" si="25"/>
        <v>0.84</v>
      </c>
      <c r="AI16" s="56">
        <f t="shared" si="133"/>
        <v>814441.97073245677</v>
      </c>
      <c r="AJ16" s="56">
        <f t="shared" si="26"/>
        <v>8.6606518332318885</v>
      </c>
      <c r="AK16" s="56">
        <f t="shared" si="27"/>
        <v>0</v>
      </c>
      <c r="AL16" s="56">
        <f t="shared" si="167"/>
        <v>550214.20767144766</v>
      </c>
      <c r="AM16" s="9">
        <f t="shared" si="168"/>
        <v>550222.86832328094</v>
      </c>
      <c r="AN16" s="9">
        <f t="shared" si="28"/>
        <v>0</v>
      </c>
      <c r="AO16" s="9">
        <f t="shared" si="29"/>
        <v>0</v>
      </c>
      <c r="AP16" s="9">
        <f t="shared" si="30"/>
        <v>0</v>
      </c>
      <c r="AQ16" s="9">
        <f t="shared" si="134"/>
        <v>58452.694896387809</v>
      </c>
      <c r="AR16" s="9">
        <f t="shared" si="31"/>
        <v>32000</v>
      </c>
      <c r="AS16" s="9">
        <f t="shared" si="32"/>
        <v>44000</v>
      </c>
      <c r="AT16" s="9">
        <f t="shared" si="33"/>
        <v>14775.938174752257</v>
      </c>
      <c r="AU16" s="9">
        <f>IF(AQ16&lt;AR16,0,MIN(0.85*J16,MIN(AS16-AR16,AQ16-AR16)*0.5*J16+IF(AQ16&gt;AS16,0.85*(AQ16-AS16),0)*J16))</f>
        <v>40249.388488047211</v>
      </c>
      <c r="AV16" s="9">
        <f t="shared" si="136"/>
        <v>34776.584021065923</v>
      </c>
      <c r="AW16" s="7">
        <f t="shared" si="137"/>
        <v>72128.805771709696</v>
      </c>
      <c r="AX16" s="7">
        <f t="shared" si="138"/>
        <v>65025.972509113133</v>
      </c>
      <c r="AY16" s="7">
        <f t="shared" si="34"/>
        <v>0.6458463136633259</v>
      </c>
      <c r="AZ16" s="7">
        <f t="shared" si="139"/>
        <v>0</v>
      </c>
      <c r="BA16" s="7">
        <f t="shared" si="35"/>
        <v>0</v>
      </c>
      <c r="BB16" s="7">
        <f t="shared" si="36"/>
        <v>0</v>
      </c>
      <c r="BC16" s="7">
        <f t="shared" si="37"/>
        <v>4.0342679136693115E-2</v>
      </c>
      <c r="BD16" s="7">
        <f t="shared" si="38"/>
        <v>35531.080080555425</v>
      </c>
      <c r="BE16" s="7">
        <f t="shared" si="39"/>
        <v>22277.057874332371</v>
      </c>
      <c r="BF16" s="7">
        <f t="shared" si="140"/>
        <v>22277.057874332371</v>
      </c>
      <c r="BG16" s="7">
        <f t="shared" si="169"/>
        <v>29494.623477363464</v>
      </c>
      <c r="BH16" s="7">
        <f t="shared" si="172"/>
        <v>42748.645683586517</v>
      </c>
      <c r="BI16" s="7">
        <f t="shared" si="141"/>
        <v>29494.623477363464</v>
      </c>
      <c r="BJ16" s="7">
        <f t="shared" si="40"/>
        <v>0.37689511941870513</v>
      </c>
      <c r="BK16" s="7">
        <f t="shared" si="41"/>
        <v>0</v>
      </c>
      <c r="BL16" s="7">
        <f t="shared" si="42"/>
        <v>10000</v>
      </c>
      <c r="BM16" s="7">
        <f t="shared" si="43"/>
        <v>14775.938174752257</v>
      </c>
      <c r="BN16" s="7">
        <f t="shared" si="44"/>
        <v>0.26895119424462077</v>
      </c>
      <c r="BO16" s="7">
        <f t="shared" si="45"/>
        <v>0</v>
      </c>
      <c r="BP16" s="7">
        <f t="shared" si="142"/>
        <v>10200</v>
      </c>
      <c r="BQ16" s="7">
        <f t="shared" si="46"/>
        <v>10200</v>
      </c>
      <c r="BR16" s="7">
        <f t="shared" si="47"/>
        <v>0</v>
      </c>
      <c r="BS16" s="7">
        <f t="shared" si="48"/>
        <v>0</v>
      </c>
      <c r="BT16" s="7">
        <f t="shared" si="49"/>
        <v>14576.584021065919</v>
      </c>
      <c r="BU16" s="157">
        <f t="shared" si="50"/>
        <v>2.6066802151345995E-5</v>
      </c>
      <c r="BV16" s="51">
        <f t="shared" si="51"/>
        <v>0</v>
      </c>
      <c r="BW16" s="51">
        <f t="shared" si="52"/>
        <v>1000000</v>
      </c>
      <c r="BX16" s="51">
        <f t="shared" si="53"/>
        <v>10000000000</v>
      </c>
      <c r="BY16" s="51">
        <f t="shared" si="54"/>
        <v>10000000000</v>
      </c>
      <c r="BZ16" s="51">
        <f t="shared" si="55"/>
        <v>10000000000</v>
      </c>
      <c r="CA16" s="51">
        <f t="shared" si="56"/>
        <v>10000000000</v>
      </c>
      <c r="CB16" s="51">
        <f t="shared" si="57"/>
        <v>10000000000</v>
      </c>
      <c r="CC16" s="51">
        <f t="shared" si="58"/>
        <v>10000000000</v>
      </c>
      <c r="CD16" s="51">
        <f t="shared" si="59"/>
        <v>10000000000</v>
      </c>
      <c r="CE16" s="51">
        <f t="shared" si="60"/>
        <v>10000000000</v>
      </c>
      <c r="CF16" s="51">
        <f t="shared" si="61"/>
        <v>10000000000</v>
      </c>
      <c r="CG16" s="51">
        <f t="shared" si="62"/>
        <v>10000000000</v>
      </c>
      <c r="CH16" s="51">
        <f t="shared" si="63"/>
        <v>0</v>
      </c>
      <c r="CI16" s="51">
        <f t="shared" si="64"/>
        <v>1000000</v>
      </c>
      <c r="CJ16" s="51">
        <f t="shared" si="65"/>
        <v>10000000000</v>
      </c>
      <c r="CK16" s="51">
        <f t="shared" si="66"/>
        <v>10000000000</v>
      </c>
      <c r="CL16" s="51">
        <f t="shared" si="67"/>
        <v>10000000000</v>
      </c>
      <c r="CM16" s="51">
        <f t="shared" si="68"/>
        <v>10000000000</v>
      </c>
      <c r="CN16" s="51">
        <f t="shared" si="69"/>
        <v>10000000000</v>
      </c>
      <c r="CO16" s="51">
        <f t="shared" si="70"/>
        <v>10000000000</v>
      </c>
      <c r="CP16" s="51">
        <f t="shared" si="71"/>
        <v>10000000000</v>
      </c>
      <c r="CQ16" s="51">
        <f t="shared" si="72"/>
        <v>10000000000</v>
      </c>
      <c r="CR16" s="51">
        <f t="shared" si="73"/>
        <v>10000000000</v>
      </c>
      <c r="CS16" s="51">
        <f t="shared" si="74"/>
        <v>10000000000</v>
      </c>
      <c r="CT16" s="7">
        <f t="shared" si="75"/>
        <v>50000</v>
      </c>
      <c r="CU16" s="7">
        <f t="shared" si="76"/>
        <v>0</v>
      </c>
      <c r="CV16" s="7">
        <f t="shared" si="76"/>
        <v>0</v>
      </c>
      <c r="CW16" s="7">
        <f t="shared" si="76"/>
        <v>0</v>
      </c>
      <c r="CX16" s="7">
        <f t="shared" si="76"/>
        <v>0</v>
      </c>
      <c r="CY16" s="7">
        <f t="shared" si="76"/>
        <v>0</v>
      </c>
      <c r="CZ16" s="7">
        <f t="shared" si="76"/>
        <v>0</v>
      </c>
      <c r="DA16" s="7">
        <f t="shared" si="76"/>
        <v>0</v>
      </c>
      <c r="DB16" s="7">
        <f t="shared" si="76"/>
        <v>0</v>
      </c>
      <c r="DC16" s="7">
        <f t="shared" si="76"/>
        <v>0</v>
      </c>
      <c r="DD16" s="7">
        <f t="shared" si="76"/>
        <v>0</v>
      </c>
      <c r="DE16" s="37">
        <f t="shared" si="77"/>
        <v>0.05</v>
      </c>
      <c r="DF16" s="37">
        <f t="shared" si="78"/>
        <v>0.09</v>
      </c>
      <c r="DG16" s="7">
        <f t="shared" si="79"/>
        <v>0</v>
      </c>
      <c r="DH16" s="7">
        <f t="shared" si="80"/>
        <v>0</v>
      </c>
      <c r="DI16" s="7">
        <f t="shared" si="81"/>
        <v>0</v>
      </c>
      <c r="DJ16" s="7">
        <f t="shared" si="82"/>
        <v>0</v>
      </c>
      <c r="DK16" s="7">
        <f t="shared" si="83"/>
        <v>0</v>
      </c>
      <c r="DL16" s="7">
        <f t="shared" si="84"/>
        <v>0</v>
      </c>
      <c r="DM16" s="7">
        <f t="shared" si="85"/>
        <v>0</v>
      </c>
      <c r="DN16" s="7">
        <f t="shared" si="86"/>
        <v>0</v>
      </c>
      <c r="DO16" s="7">
        <f t="shared" si="87"/>
        <v>0</v>
      </c>
      <c r="DP16" s="7">
        <f t="shared" si="88"/>
        <v>0</v>
      </c>
      <c r="DQ16" s="7">
        <f t="shared" si="89"/>
        <v>728.82920105329595</v>
      </c>
      <c r="DR16" s="37">
        <f t="shared" si="90"/>
        <v>0.05</v>
      </c>
      <c r="DS16" s="7">
        <f t="shared" si="91"/>
        <v>1.8998246585979837E-2</v>
      </c>
      <c r="DT16" s="7" t="b">
        <f t="shared" si="92"/>
        <v>0</v>
      </c>
      <c r="DU16" s="7" t="b">
        <f t="shared" si="93"/>
        <v>0</v>
      </c>
      <c r="DV16" s="7" t="b">
        <f t="shared" si="94"/>
        <v>0</v>
      </c>
      <c r="DW16" s="7" t="b">
        <f t="shared" si="95"/>
        <v>1</v>
      </c>
      <c r="DX16" s="7" t="b">
        <f t="shared" si="96"/>
        <v>0</v>
      </c>
      <c r="DY16" s="207">
        <f t="shared" si="97"/>
        <v>0.80426303909328967</v>
      </c>
      <c r="DZ16" s="7">
        <f t="shared" si="98"/>
        <v>2974.7513529898588</v>
      </c>
      <c r="EA16" s="36">
        <f t="shared" si="99"/>
        <v>0.12</v>
      </c>
      <c r="EB16" s="51">
        <f t="shared" si="170"/>
        <v>2974.7916956689955</v>
      </c>
      <c r="EC16" s="7">
        <f t="shared" si="100"/>
        <v>28230.173214687871</v>
      </c>
      <c r="ED16" s="7">
        <f t="shared" si="101"/>
        <v>114745.91957521837</v>
      </c>
      <c r="EE16" s="7">
        <f t="shared" si="102"/>
        <v>244641.22089711193</v>
      </c>
      <c r="EF16" s="7">
        <f t="shared" si="103"/>
        <v>467136.35763442563</v>
      </c>
      <c r="EG16" s="7">
        <f t="shared" si="104"/>
        <v>593137.84196118976</v>
      </c>
      <c r="EH16" s="7">
        <f t="shared" si="105"/>
        <v>2823.0173214687875</v>
      </c>
      <c r="EI16" s="7">
        <f t="shared" si="106"/>
        <v>13204.906884732447</v>
      </c>
      <c r="EJ16" s="7">
        <f t="shared" si="107"/>
        <v>41781.87317554903</v>
      </c>
      <c r="EK16" s="7">
        <f t="shared" si="108"/>
        <v>95180.705992504314</v>
      </c>
      <c r="EL16" s="7">
        <f t="shared" si="109"/>
        <v>135501.18097706884</v>
      </c>
      <c r="EM16" s="7">
        <f t="shared" si="110"/>
        <v>250664.46906145266</v>
      </c>
      <c r="EN16" s="7">
        <f t="shared" si="111"/>
        <v>313938.99523230479</v>
      </c>
      <c r="EO16" s="7">
        <f t="shared" si="112"/>
        <v>391815.33513489203</v>
      </c>
      <c r="EP16" s="7">
        <f t="shared" si="113"/>
        <v>469691.67503747926</v>
      </c>
      <c r="EQ16" s="7">
        <f t="shared" si="114"/>
        <v>912613.35823344416</v>
      </c>
      <c r="ER16" s="7">
        <f t="shared" si="115"/>
        <v>5081.4311786438166</v>
      </c>
      <c r="ES16" s="10">
        <f t="shared" si="116"/>
        <v>1</v>
      </c>
      <c r="ET16" s="16">
        <f t="shared" si="117"/>
        <v>1</v>
      </c>
      <c r="EU16" s="16">
        <f t="shared" si="118"/>
        <v>24</v>
      </c>
      <c r="EV16" s="7">
        <f t="shared" si="119"/>
        <v>0</v>
      </c>
      <c r="EW16" s="37">
        <f t="shared" si="143"/>
        <v>1.912610793302837E-2</v>
      </c>
      <c r="EX16" s="7">
        <f t="shared" si="120"/>
        <v>3703.6208967222915</v>
      </c>
      <c r="EY16" s="7">
        <f t="shared" si="171"/>
        <v>2978.6853980472847</v>
      </c>
      <c r="EZ16" s="37">
        <f t="shared" si="121"/>
        <v>0.16999999999999998</v>
      </c>
      <c r="FA16" s="37">
        <f t="shared" si="122"/>
        <v>5.1347320354150697E-2</v>
      </c>
      <c r="FB16" s="7">
        <f t="shared" si="123"/>
        <v>68425.307460657292</v>
      </c>
      <c r="FC16" s="7">
        <f t="shared" si="173"/>
        <v>55031.945729200983</v>
      </c>
      <c r="FD16" s="7">
        <f t="shared" si="144"/>
        <v>2368.4871448987947</v>
      </c>
      <c r="FE16" s="7">
        <f t="shared" si="124"/>
        <v>55000</v>
      </c>
      <c r="FF16" s="7">
        <f t="shared" si="145"/>
        <v>38083.641772992138</v>
      </c>
      <c r="FG16" s="7">
        <f t="shared" si="146"/>
        <v>0</v>
      </c>
      <c r="FH16" s="7">
        <f t="shared" si="147"/>
        <v>8042.6303909328963</v>
      </c>
      <c r="FI16" s="7">
        <f t="shared" si="125"/>
        <v>0.28142536959790726</v>
      </c>
      <c r="FJ16" s="7">
        <f t="shared" si="148"/>
        <v>11883.740941880806</v>
      </c>
      <c r="FK16" s="7">
        <f t="shared" si="149"/>
        <v>0</v>
      </c>
      <c r="FL16" s="7">
        <f t="shared" si="150"/>
        <v>0.6180214424312811</v>
      </c>
      <c r="FM16" s="7">
        <f t="shared" si="151"/>
        <v>0</v>
      </c>
      <c r="FN16" s="7">
        <f t="shared" si="152"/>
        <v>0</v>
      </c>
      <c r="FO16" s="7">
        <f t="shared" si="153"/>
        <v>3.2446125727642258E-2</v>
      </c>
      <c r="FP16" s="7">
        <f t="shared" si="154"/>
        <v>2392.4825637024992</v>
      </c>
      <c r="FQ16" s="7">
        <f t="shared" si="155"/>
        <v>586.17038821905805</v>
      </c>
      <c r="FR16" s="7">
        <f t="shared" si="156"/>
        <v>0</v>
      </c>
      <c r="FS16" s="7">
        <f t="shared" si="157"/>
        <v>32371.095507043316</v>
      </c>
      <c r="FT16" s="7">
        <f t="shared" si="158"/>
        <v>0.30312281416311609</v>
      </c>
      <c r="FU16" s="7">
        <f t="shared" si="159"/>
        <v>0.21630750485094838</v>
      </c>
      <c r="FV16" s="7">
        <f t="shared" si="160"/>
        <v>11883.740941880806</v>
      </c>
      <c r="FW16" s="7">
        <f t="shared" si="161"/>
        <v>0.30312281416311609</v>
      </c>
      <c r="FX16" s="7">
        <f t="shared" si="162"/>
        <v>0</v>
      </c>
      <c r="FY16" s="7">
        <f t="shared" si="163"/>
        <v>8042.6303909328963</v>
      </c>
      <c r="FZ16" s="7">
        <f t="shared" si="164"/>
        <v>0.21630750485094838</v>
      </c>
      <c r="GA16" s="7">
        <f t="shared" si="165"/>
        <v>0</v>
      </c>
      <c r="GB16" s="7">
        <f t="shared" si="166"/>
        <v>11883.740941880806</v>
      </c>
      <c r="GC16" s="7">
        <f t="shared" si="126"/>
        <v>0.22634002303076517</v>
      </c>
      <c r="GD16" s="7">
        <f t="shared" si="127"/>
        <v>660482.37836144876</v>
      </c>
      <c r="GE16" s="7">
        <f t="shared" si="128"/>
        <v>1210705.2466847296</v>
      </c>
      <c r="GF16" s="7">
        <f t="shared" si="129"/>
        <v>49250.246395209317</v>
      </c>
      <c r="GG16" s="7">
        <f t="shared" si="130"/>
        <v>234138.25789477798</v>
      </c>
      <c r="GH16" s="7">
        <f t="shared" si="131"/>
        <v>0</v>
      </c>
      <c r="GI16" s="7">
        <f t="shared" si="132"/>
        <v>0</v>
      </c>
      <c r="GJ16" s="7">
        <v>1251480.1384892943</v>
      </c>
      <c r="GK16" s="7">
        <v>318828.03333333327</v>
      </c>
    </row>
    <row r="17" spans="1:193" x14ac:dyDescent="0.55000000000000004">
      <c r="A17" s="60">
        <f t="shared" si="0"/>
        <v>2037</v>
      </c>
      <c r="B17" s="60">
        <f t="shared" si="1"/>
        <v>74</v>
      </c>
      <c r="C17" s="60">
        <f t="shared" si="2"/>
        <v>74</v>
      </c>
      <c r="D17" s="7">
        <f t="shared" si="3"/>
        <v>5000</v>
      </c>
      <c r="E17" s="7">
        <f t="shared" si="4"/>
        <v>5000</v>
      </c>
      <c r="F17" s="7">
        <f t="shared" si="5"/>
        <v>0</v>
      </c>
      <c r="G17" s="7">
        <f t="shared" si="6"/>
        <v>0</v>
      </c>
      <c r="H17" s="7">
        <f t="shared" si="7"/>
        <v>35021.106868703333</v>
      </c>
      <c r="I17" s="7">
        <f t="shared" si="8"/>
        <v>13183.454873452032</v>
      </c>
      <c r="J17" s="7">
        <f t="shared" si="9"/>
        <v>48204.561742155362</v>
      </c>
      <c r="K17" s="7">
        <f t="shared" si="10"/>
        <v>10000</v>
      </c>
      <c r="L17" s="7">
        <f t="shared" si="11"/>
        <v>0</v>
      </c>
      <c r="M17" s="7">
        <f t="shared" si="12"/>
        <v>10000</v>
      </c>
      <c r="N17" s="7">
        <f t="shared" si="13"/>
        <v>58204.561742155362</v>
      </c>
      <c r="O17" s="7">
        <f t="shared" si="14"/>
        <v>15398.777009870169</v>
      </c>
      <c r="P17" s="7">
        <v>0</v>
      </c>
      <c r="Q17" s="29">
        <v>9239.2662059220984</v>
      </c>
      <c r="R17" s="29">
        <v>6159.510803948072</v>
      </c>
      <c r="S17" s="7">
        <v>0.76843198339157404</v>
      </c>
      <c r="T17" s="7">
        <f t="shared" si="15"/>
        <v>0.37689511941849207</v>
      </c>
      <c r="U17" s="7">
        <f t="shared" si="16"/>
        <v>0</v>
      </c>
      <c r="V17" s="7">
        <f t="shared" si="17"/>
        <v>0</v>
      </c>
      <c r="W17" s="7"/>
      <c r="X17" s="7"/>
      <c r="Y17" s="7">
        <f t="shared" si="18"/>
        <v>0</v>
      </c>
      <c r="Z17" s="7">
        <f t="shared" si="18"/>
        <v>0</v>
      </c>
      <c r="AA17" s="7">
        <f t="shared" si="19"/>
        <v>0.26895119418705088</v>
      </c>
      <c r="AB17" s="7"/>
      <c r="AC17" s="7">
        <f t="shared" si="20"/>
        <v>10.768431983385486</v>
      </c>
      <c r="AD17" s="7">
        <f t="shared" si="21"/>
        <v>0</v>
      </c>
      <c r="AE17" s="7">
        <f t="shared" si="22"/>
        <v>858730.57951147296</v>
      </c>
      <c r="AF17" s="9">
        <f t="shared" si="23"/>
        <v>515238.34770688362</v>
      </c>
      <c r="AG17" s="56">
        <f t="shared" si="24"/>
        <v>343492.23180458939</v>
      </c>
      <c r="AH17" s="165">
        <f t="shared" si="25"/>
        <v>0.84</v>
      </c>
      <c r="AI17" s="56">
        <f t="shared" si="133"/>
        <v>858741.34794345638</v>
      </c>
      <c r="AJ17" s="56">
        <f t="shared" si="26"/>
        <v>8.4908351306146965</v>
      </c>
      <c r="AK17" s="56">
        <f t="shared" si="27"/>
        <v>0</v>
      </c>
      <c r="AL17" s="56">
        <f t="shared" si="167"/>
        <v>568766.68935078499</v>
      </c>
      <c r="AM17" s="9">
        <f t="shared" si="168"/>
        <v>568775.18018591555</v>
      </c>
      <c r="AN17" s="9">
        <f t="shared" si="28"/>
        <v>0</v>
      </c>
      <c r="AO17" s="9">
        <f t="shared" si="29"/>
        <v>0</v>
      </c>
      <c r="AP17" s="9">
        <f t="shared" si="30"/>
        <v>0</v>
      </c>
      <c r="AQ17" s="9">
        <f t="shared" si="134"/>
        <v>59501.703727261462</v>
      </c>
      <c r="AR17" s="9">
        <f t="shared" si="31"/>
        <v>32000</v>
      </c>
      <c r="AS17" s="9">
        <f t="shared" si="32"/>
        <v>44000</v>
      </c>
      <c r="AT17" s="9">
        <f t="shared" si="33"/>
        <v>15398.777009870169</v>
      </c>
      <c r="AU17" s="9">
        <f t="shared" si="135"/>
        <v>40973.87748083206</v>
      </c>
      <c r="AV17" s="9">
        <f t="shared" si="136"/>
        <v>35399.422856183781</v>
      </c>
      <c r="AW17" s="7">
        <f t="shared" si="137"/>
        <v>73603.984598339142</v>
      </c>
      <c r="AX17" s="7">
        <f t="shared" si="138"/>
        <v>66373.30033701584</v>
      </c>
      <c r="AY17" s="7">
        <f t="shared" si="34"/>
        <v>0.64584631360554301</v>
      </c>
      <c r="AZ17" s="7">
        <f t="shared" si="139"/>
        <v>0</v>
      </c>
      <c r="BA17" s="7">
        <f t="shared" si="35"/>
        <v>0</v>
      </c>
      <c r="BB17" s="7">
        <f t="shared" si="36"/>
        <v>0</v>
      </c>
      <c r="BC17" s="7">
        <f t="shared" si="37"/>
        <v>4.0342679128057633E-2</v>
      </c>
      <c r="BD17" s="7">
        <f t="shared" si="38"/>
        <v>36170.639522005418</v>
      </c>
      <c r="BE17" s="7">
        <f t="shared" si="39"/>
        <v>22696.06793220729</v>
      </c>
      <c r="BF17" s="7">
        <f t="shared" si="140"/>
        <v>22696.06793220729</v>
      </c>
      <c r="BG17" s="7">
        <f t="shared" si="169"/>
        <v>30202.391863816236</v>
      </c>
      <c r="BH17" s="7">
        <f t="shared" si="172"/>
        <v>43676.963453614364</v>
      </c>
      <c r="BI17" s="7">
        <f t="shared" si="141"/>
        <v>30202.391863816236</v>
      </c>
      <c r="BJ17" s="7">
        <f t="shared" si="40"/>
        <v>0.37689511941849207</v>
      </c>
      <c r="BK17" s="7">
        <f t="shared" si="41"/>
        <v>0</v>
      </c>
      <c r="BL17" s="7">
        <f t="shared" si="42"/>
        <v>10000</v>
      </c>
      <c r="BM17" s="7">
        <f t="shared" si="43"/>
        <v>15398.777009870169</v>
      </c>
      <c r="BN17" s="7">
        <f t="shared" si="44"/>
        <v>0.26895119418705088</v>
      </c>
      <c r="BO17" s="7">
        <f t="shared" si="45"/>
        <v>0</v>
      </c>
      <c r="BP17" s="7">
        <f t="shared" si="142"/>
        <v>10200</v>
      </c>
      <c r="BQ17" s="7">
        <f t="shared" si="46"/>
        <v>10200</v>
      </c>
      <c r="BR17" s="7">
        <f t="shared" si="47"/>
        <v>0</v>
      </c>
      <c r="BS17" s="7">
        <f t="shared" si="48"/>
        <v>0</v>
      </c>
      <c r="BT17" s="7">
        <f t="shared" si="49"/>
        <v>15199.422856183774</v>
      </c>
      <c r="BU17" s="157">
        <f t="shared" si="50"/>
        <v>2.5427597991593911E-5</v>
      </c>
      <c r="BV17" s="51">
        <f t="shared" si="51"/>
        <v>0</v>
      </c>
      <c r="BW17" s="51">
        <f t="shared" si="52"/>
        <v>1000000</v>
      </c>
      <c r="BX17" s="51">
        <f t="shared" si="53"/>
        <v>10000000000</v>
      </c>
      <c r="BY17" s="51">
        <f t="shared" si="54"/>
        <v>10000000000</v>
      </c>
      <c r="BZ17" s="51">
        <f t="shared" si="55"/>
        <v>10000000000</v>
      </c>
      <c r="CA17" s="51">
        <f t="shared" si="56"/>
        <v>10000000000</v>
      </c>
      <c r="CB17" s="51">
        <f t="shared" si="57"/>
        <v>10000000000</v>
      </c>
      <c r="CC17" s="51">
        <f t="shared" si="58"/>
        <v>10000000000</v>
      </c>
      <c r="CD17" s="51">
        <f t="shared" si="59"/>
        <v>10000000000</v>
      </c>
      <c r="CE17" s="51">
        <f t="shared" si="60"/>
        <v>10000000000</v>
      </c>
      <c r="CF17" s="51">
        <f t="shared" si="61"/>
        <v>10000000000</v>
      </c>
      <c r="CG17" s="51">
        <f t="shared" si="62"/>
        <v>10000000000</v>
      </c>
      <c r="CH17" s="51">
        <f t="shared" si="63"/>
        <v>0</v>
      </c>
      <c r="CI17" s="51">
        <f t="shared" si="64"/>
        <v>1000000</v>
      </c>
      <c r="CJ17" s="51">
        <f t="shared" si="65"/>
        <v>10000000000</v>
      </c>
      <c r="CK17" s="51">
        <f t="shared" si="66"/>
        <v>10000000000</v>
      </c>
      <c r="CL17" s="51">
        <f t="shared" si="67"/>
        <v>10000000000</v>
      </c>
      <c r="CM17" s="51">
        <f t="shared" si="68"/>
        <v>10000000000</v>
      </c>
      <c r="CN17" s="51">
        <f t="shared" si="69"/>
        <v>10000000000</v>
      </c>
      <c r="CO17" s="51">
        <f t="shared" si="70"/>
        <v>10000000000</v>
      </c>
      <c r="CP17" s="51">
        <f t="shared" si="71"/>
        <v>10000000000</v>
      </c>
      <c r="CQ17" s="51">
        <f t="shared" si="72"/>
        <v>10000000000</v>
      </c>
      <c r="CR17" s="51">
        <f t="shared" si="73"/>
        <v>10000000000</v>
      </c>
      <c r="CS17" s="51">
        <f t="shared" si="74"/>
        <v>10000000000</v>
      </c>
      <c r="CT17" s="7">
        <f t="shared" si="75"/>
        <v>50000</v>
      </c>
      <c r="CU17" s="7">
        <f t="shared" si="76"/>
        <v>0</v>
      </c>
      <c r="CV17" s="7">
        <f t="shared" si="76"/>
        <v>0</v>
      </c>
      <c r="CW17" s="7">
        <f t="shared" si="76"/>
        <v>0</v>
      </c>
      <c r="CX17" s="7">
        <f t="shared" si="76"/>
        <v>0</v>
      </c>
      <c r="CY17" s="7">
        <f t="shared" si="76"/>
        <v>0</v>
      </c>
      <c r="CZ17" s="7">
        <f t="shared" si="76"/>
        <v>0</v>
      </c>
      <c r="DA17" s="7">
        <f t="shared" si="76"/>
        <v>0</v>
      </c>
      <c r="DB17" s="7">
        <f t="shared" si="76"/>
        <v>0</v>
      </c>
      <c r="DC17" s="7">
        <f t="shared" si="76"/>
        <v>0</v>
      </c>
      <c r="DD17" s="7">
        <f t="shared" si="76"/>
        <v>0</v>
      </c>
      <c r="DE17" s="37">
        <f t="shared" si="77"/>
        <v>0.05</v>
      </c>
      <c r="DF17" s="37">
        <f t="shared" si="78"/>
        <v>0.09</v>
      </c>
      <c r="DG17" s="7">
        <f t="shared" si="79"/>
        <v>0</v>
      </c>
      <c r="DH17" s="7">
        <f t="shared" si="80"/>
        <v>0</v>
      </c>
      <c r="DI17" s="7">
        <f t="shared" si="81"/>
        <v>0</v>
      </c>
      <c r="DJ17" s="7">
        <f t="shared" si="82"/>
        <v>0</v>
      </c>
      <c r="DK17" s="7">
        <f t="shared" si="83"/>
        <v>0</v>
      </c>
      <c r="DL17" s="7">
        <f t="shared" si="84"/>
        <v>0</v>
      </c>
      <c r="DM17" s="7">
        <f t="shared" si="85"/>
        <v>0</v>
      </c>
      <c r="DN17" s="7">
        <f t="shared" si="86"/>
        <v>0</v>
      </c>
      <c r="DO17" s="7">
        <f t="shared" si="87"/>
        <v>0</v>
      </c>
      <c r="DP17" s="7">
        <f t="shared" si="88"/>
        <v>0</v>
      </c>
      <c r="DQ17" s="7">
        <f t="shared" si="89"/>
        <v>759.97114280918868</v>
      </c>
      <c r="DR17" s="37">
        <f t="shared" si="90"/>
        <v>0.05</v>
      </c>
      <c r="DS17" s="7">
        <f t="shared" si="91"/>
        <v>1.9324240704564254E-2</v>
      </c>
      <c r="DT17" s="7" t="b">
        <f t="shared" si="92"/>
        <v>0</v>
      </c>
      <c r="DU17" s="7" t="b">
        <f t="shared" si="93"/>
        <v>0</v>
      </c>
      <c r="DV17" s="7" t="b">
        <f t="shared" si="94"/>
        <v>0</v>
      </c>
      <c r="DW17" s="7" t="b">
        <f t="shared" si="95"/>
        <v>1</v>
      </c>
      <c r="DX17" s="7" t="b">
        <f t="shared" si="96"/>
        <v>0</v>
      </c>
      <c r="DY17" s="207">
        <f t="shared" si="97"/>
        <v>0.78849317558165644</v>
      </c>
      <c r="DZ17" s="7">
        <f t="shared" si="98"/>
        <v>3049.5206970069034</v>
      </c>
      <c r="EA17" s="36">
        <f t="shared" si="99"/>
        <v>0.12</v>
      </c>
      <c r="EB17" s="51">
        <f t="shared" si="170"/>
        <v>3049.5610396860316</v>
      </c>
      <c r="EC17" s="7">
        <f t="shared" si="100"/>
        <v>28738.316332552251</v>
      </c>
      <c r="ED17" s="7">
        <f t="shared" si="101"/>
        <v>116811.34612757229</v>
      </c>
      <c r="EE17" s="7">
        <f t="shared" si="102"/>
        <v>249044.76287325993</v>
      </c>
      <c r="EF17" s="7">
        <f t="shared" si="103"/>
        <v>475544.81207184523</v>
      </c>
      <c r="EG17" s="7">
        <f t="shared" si="104"/>
        <v>603814.3231164912</v>
      </c>
      <c r="EH17" s="7">
        <f t="shared" si="105"/>
        <v>2873.8316332552254</v>
      </c>
      <c r="EI17" s="7">
        <f t="shared" si="106"/>
        <v>13442.595208657631</v>
      </c>
      <c r="EJ17" s="7">
        <f t="shared" si="107"/>
        <v>42533.946892708911</v>
      </c>
      <c r="EK17" s="7">
        <f t="shared" si="108"/>
        <v>96893.958700369374</v>
      </c>
      <c r="EL17" s="7">
        <f t="shared" si="109"/>
        <v>137940.20223465608</v>
      </c>
      <c r="EM17" s="7">
        <f t="shared" si="110"/>
        <v>255176.42950455879</v>
      </c>
      <c r="EN17" s="7">
        <f t="shared" si="111"/>
        <v>319589.89714648627</v>
      </c>
      <c r="EO17" s="7">
        <f t="shared" si="112"/>
        <v>398868.01116732002</v>
      </c>
      <c r="EP17" s="7">
        <f t="shared" si="113"/>
        <v>478146.12518815382</v>
      </c>
      <c r="EQ17" s="7">
        <f t="shared" si="114"/>
        <v>929040.3986816461</v>
      </c>
      <c r="ER17" s="7">
        <f t="shared" si="115"/>
        <v>5172.8969398594054</v>
      </c>
      <c r="ES17" s="10">
        <f t="shared" si="116"/>
        <v>1</v>
      </c>
      <c r="ET17" s="16">
        <f t="shared" si="117"/>
        <v>1</v>
      </c>
      <c r="EU17" s="16">
        <f t="shared" si="118"/>
        <v>24</v>
      </c>
      <c r="EV17" s="7">
        <f t="shared" si="119"/>
        <v>0</v>
      </c>
      <c r="EW17" s="37">
        <f t="shared" si="143"/>
        <v>1.890809412486957E-2</v>
      </c>
      <c r="EX17" s="7">
        <f t="shared" si="120"/>
        <v>3809.5321824952202</v>
      </c>
      <c r="EY17" s="7">
        <f t="shared" si="171"/>
        <v>3003.7901280561746</v>
      </c>
      <c r="EZ17" s="37">
        <f t="shared" si="121"/>
        <v>0.16999999999999998</v>
      </c>
      <c r="FA17" s="37">
        <f t="shared" si="122"/>
        <v>5.1757146074143133E-2</v>
      </c>
      <c r="FB17" s="7">
        <f t="shared" si="123"/>
        <v>69794.575001513702</v>
      </c>
      <c r="FC17" s="7">
        <f t="shared" si="173"/>
        <v>55032.546081315631</v>
      </c>
      <c r="FD17" s="7">
        <f t="shared" si="144"/>
        <v>2375.3636288822408</v>
      </c>
      <c r="FE17" s="7">
        <f t="shared" si="124"/>
        <v>55000</v>
      </c>
      <c r="FF17" s="7">
        <f t="shared" si="145"/>
        <v>38008.967965594107</v>
      </c>
      <c r="FG17" s="7">
        <f t="shared" si="146"/>
        <v>0</v>
      </c>
      <c r="FH17" s="7">
        <f t="shared" si="147"/>
        <v>7884.931755816564</v>
      </c>
      <c r="FI17" s="7">
        <f t="shared" si="125"/>
        <v>0.27497681536352397</v>
      </c>
      <c r="FJ17" s="7">
        <f t="shared" si="148"/>
        <v>12141.830584586334</v>
      </c>
      <c r="FK17" s="7">
        <f t="shared" si="149"/>
        <v>0</v>
      </c>
      <c r="FL17" s="7">
        <f t="shared" si="150"/>
        <v>0.60590337480293288</v>
      </c>
      <c r="FM17" s="7">
        <f t="shared" si="151"/>
        <v>0</v>
      </c>
      <c r="FN17" s="7">
        <f t="shared" si="152"/>
        <v>0</v>
      </c>
      <c r="FO17" s="7">
        <f t="shared" si="153"/>
        <v>3.1809927177153974E-2</v>
      </c>
      <c r="FP17" s="7">
        <f t="shared" si="154"/>
        <v>2404.5262583849594</v>
      </c>
      <c r="FQ17" s="7">
        <f t="shared" si="155"/>
        <v>599.23205974403766</v>
      </c>
      <c r="FR17" s="7">
        <f t="shared" si="156"/>
        <v>0</v>
      </c>
      <c r="FS17" s="7">
        <f t="shared" si="157"/>
        <v>32307.622770754992</v>
      </c>
      <c r="FT17" s="7">
        <f t="shared" si="158"/>
        <v>0.29717922957151444</v>
      </c>
      <c r="FU17" s="7">
        <f t="shared" si="159"/>
        <v>0.21206618118102649</v>
      </c>
      <c r="FV17" s="7">
        <f t="shared" si="160"/>
        <v>12141.830584586334</v>
      </c>
      <c r="FW17" s="7">
        <f t="shared" si="161"/>
        <v>0.29717922957151444</v>
      </c>
      <c r="FX17" s="7">
        <f t="shared" si="162"/>
        <v>0</v>
      </c>
      <c r="FY17" s="7">
        <f t="shared" si="163"/>
        <v>7884.931755816564</v>
      </c>
      <c r="FZ17" s="7">
        <f t="shared" si="164"/>
        <v>0.21206618118102649</v>
      </c>
      <c r="GA17" s="7">
        <f t="shared" si="165"/>
        <v>0</v>
      </c>
      <c r="GB17" s="7">
        <f t="shared" si="166"/>
        <v>12141.830584586334</v>
      </c>
      <c r="GC17" s="7">
        <f t="shared" si="126"/>
        <v>0.21681734235731584</v>
      </c>
      <c r="GD17" s="7">
        <f t="shared" si="127"/>
        <v>715514.92444276437</v>
      </c>
      <c r="GE17" s="7">
        <f t="shared" si="128"/>
        <v>1284290.1046286798</v>
      </c>
      <c r="GF17" s="7">
        <f t="shared" si="129"/>
        <v>52254.036523265488</v>
      </c>
      <c r="GG17" s="7">
        <f t="shared" si="130"/>
        <v>272147.22586037207</v>
      </c>
      <c r="GH17" s="7">
        <f t="shared" si="131"/>
        <v>0</v>
      </c>
      <c r="GI17" s="7">
        <f t="shared" si="132"/>
        <v>0</v>
      </c>
      <c r="GJ17" s="7">
        <v>1305963.7325908099</v>
      </c>
      <c r="GK17" s="7">
        <v>345582.83333333326</v>
      </c>
    </row>
    <row r="18" spans="1:193" x14ac:dyDescent="0.55000000000000004">
      <c r="A18" s="60">
        <f t="shared" si="0"/>
        <v>2038</v>
      </c>
      <c r="B18" s="60">
        <f t="shared" si="1"/>
        <v>75</v>
      </c>
      <c r="C18" s="60">
        <f t="shared" si="2"/>
        <v>75</v>
      </c>
      <c r="D18" s="7">
        <f t="shared" si="3"/>
        <v>5000</v>
      </c>
      <c r="E18" s="7">
        <f t="shared" si="4"/>
        <v>5000</v>
      </c>
      <c r="F18" s="7">
        <f t="shared" si="5"/>
        <v>0</v>
      </c>
      <c r="G18" s="7">
        <f t="shared" si="6"/>
        <v>0</v>
      </c>
      <c r="H18" s="7">
        <f t="shared" si="7"/>
        <v>35651.486792339994</v>
      </c>
      <c r="I18" s="7">
        <f t="shared" si="8"/>
        <v>13420.75706117417</v>
      </c>
      <c r="J18" s="7">
        <f t="shared" si="9"/>
        <v>49072.243853514163</v>
      </c>
      <c r="K18" s="7">
        <f t="shared" si="10"/>
        <v>10000</v>
      </c>
      <c r="L18" s="7">
        <f t="shared" si="11"/>
        <v>0</v>
      </c>
      <c r="M18" s="7">
        <f t="shared" si="12"/>
        <v>10000</v>
      </c>
      <c r="N18" s="7">
        <f t="shared" si="13"/>
        <v>59072.243853514163</v>
      </c>
      <c r="O18" s="7">
        <f t="shared" si="14"/>
        <v>19358.048309654045</v>
      </c>
      <c r="P18" s="7">
        <v>0</v>
      </c>
      <c r="Q18" s="29">
        <v>11614.828985792423</v>
      </c>
      <c r="R18" s="29">
        <v>7743.2193238616219</v>
      </c>
      <c r="S18" s="7">
        <v>0</v>
      </c>
      <c r="T18" s="7">
        <f t="shared" si="15"/>
        <v>564.78110421013071</v>
      </c>
      <c r="U18" s="7">
        <f t="shared" si="16"/>
        <v>0</v>
      </c>
      <c r="V18" s="7">
        <f t="shared" si="17"/>
        <v>15549.698824958676</v>
      </c>
      <c r="W18" s="7"/>
      <c r="X18" s="7"/>
      <c r="Y18" s="7">
        <f t="shared" si="18"/>
        <v>9329.8192949752029</v>
      </c>
      <c r="Z18" s="7">
        <f t="shared" si="18"/>
        <v>6219.8795299834746</v>
      </c>
      <c r="AA18" s="7">
        <f t="shared" si="19"/>
        <v>0</v>
      </c>
      <c r="AB18" s="7"/>
      <c r="AC18" s="7">
        <f t="shared" si="20"/>
        <v>16136.602977432303</v>
      </c>
      <c r="AD18" s="7">
        <f t="shared" si="21"/>
        <v>0</v>
      </c>
      <c r="AE18" s="7">
        <f t="shared" si="22"/>
        <v>886077.30861672852</v>
      </c>
      <c r="AF18" s="9">
        <f t="shared" si="23"/>
        <v>531646.38517003693</v>
      </c>
      <c r="AG18" s="56">
        <f t="shared" si="24"/>
        <v>354430.9234466916</v>
      </c>
      <c r="AH18" s="165">
        <f t="shared" si="25"/>
        <v>0.84</v>
      </c>
      <c r="AI18" s="56">
        <f t="shared" si="133"/>
        <v>902213.91159416083</v>
      </c>
      <c r="AJ18" s="56">
        <f t="shared" si="26"/>
        <v>12474.118945858832</v>
      </c>
      <c r="AK18" s="56">
        <f t="shared" si="27"/>
        <v>0</v>
      </c>
      <c r="AL18" s="56">
        <f t="shared" si="167"/>
        <v>575371.92660874838</v>
      </c>
      <c r="AM18" s="9">
        <f t="shared" si="168"/>
        <v>587846.04555460718</v>
      </c>
      <c r="AN18" s="9">
        <f t="shared" si="28"/>
        <v>34907.74713461272</v>
      </c>
      <c r="AO18" s="9">
        <f t="shared" si="29"/>
        <v>20944.648280767626</v>
      </c>
      <c r="AP18" s="9">
        <f t="shared" si="30"/>
        <v>13963.098853845097</v>
      </c>
      <c r="AQ18" s="9">
        <f t="shared" si="134"/>
        <v>80008.650165579922</v>
      </c>
      <c r="AR18" s="9">
        <f t="shared" si="31"/>
        <v>32000</v>
      </c>
      <c r="AS18" s="9">
        <f t="shared" si="32"/>
        <v>44000</v>
      </c>
      <c r="AT18" s="9">
        <f t="shared" si="33"/>
        <v>34907.74713461272</v>
      </c>
      <c r="AU18" s="9">
        <f t="shared" si="135"/>
        <v>41711.407275487036</v>
      </c>
      <c r="AV18" s="9">
        <f t="shared" si="136"/>
        <v>55472.528238822844</v>
      </c>
      <c r="AW18" s="7">
        <f t="shared" si="137"/>
        <v>94544.772092337007</v>
      </c>
      <c r="AX18" s="7">
        <f t="shared" si="138"/>
        <v>87183.93551430988</v>
      </c>
      <c r="AY18" s="7">
        <f t="shared" si="34"/>
        <v>564.78110421013071</v>
      </c>
      <c r="AZ18" s="7">
        <f t="shared" si="139"/>
        <v>0</v>
      </c>
      <c r="BA18" s="7">
        <f t="shared" si="35"/>
        <v>0</v>
      </c>
      <c r="BB18" s="7">
        <f t="shared" si="36"/>
        <v>0</v>
      </c>
      <c r="BC18" s="7">
        <f t="shared" si="37"/>
        <v>0</v>
      </c>
      <c r="BD18" s="7">
        <f t="shared" si="38"/>
        <v>36821.711033401523</v>
      </c>
      <c r="BE18" s="7">
        <f t="shared" si="39"/>
        <v>24094.57294354841</v>
      </c>
      <c r="BF18" s="7">
        <f t="shared" si="140"/>
        <v>24094.57294354841</v>
      </c>
      <c r="BG18" s="7">
        <f t="shared" si="169"/>
        <v>50362.224480908357</v>
      </c>
      <c r="BH18" s="7">
        <f t="shared" si="172"/>
        <v>63089.36257076147</v>
      </c>
      <c r="BI18" s="7">
        <f t="shared" si="141"/>
        <v>50362.224480908357</v>
      </c>
      <c r="BJ18" s="7">
        <f t="shared" si="40"/>
        <v>564.78110421013071</v>
      </c>
      <c r="BK18" s="7">
        <f t="shared" si="41"/>
        <v>0</v>
      </c>
      <c r="BL18" s="7">
        <f t="shared" si="42"/>
        <v>10000</v>
      </c>
      <c r="BM18" s="7">
        <f t="shared" si="43"/>
        <v>34907.74713461272</v>
      </c>
      <c r="BN18" s="7">
        <f t="shared" si="44"/>
        <v>0</v>
      </c>
      <c r="BO18" s="7">
        <f t="shared" si="45"/>
        <v>0</v>
      </c>
      <c r="BP18" s="7">
        <f t="shared" si="142"/>
        <v>10200</v>
      </c>
      <c r="BQ18" s="7">
        <f t="shared" si="46"/>
        <v>10200</v>
      </c>
      <c r="BR18" s="7">
        <f t="shared" si="47"/>
        <v>0</v>
      </c>
      <c r="BS18" s="7">
        <f t="shared" si="48"/>
        <v>0</v>
      </c>
      <c r="BT18" s="7">
        <f t="shared" si="49"/>
        <v>35272.528238822852</v>
      </c>
      <c r="BU18" s="157">
        <f t="shared" si="50"/>
        <v>1.2420270569603833E-2</v>
      </c>
      <c r="BV18" s="51">
        <f t="shared" si="51"/>
        <v>0</v>
      </c>
      <c r="BW18" s="51">
        <f t="shared" si="52"/>
        <v>1000000</v>
      </c>
      <c r="BX18" s="51">
        <f t="shared" si="53"/>
        <v>10000000000</v>
      </c>
      <c r="BY18" s="51">
        <f t="shared" si="54"/>
        <v>10000000000</v>
      </c>
      <c r="BZ18" s="51">
        <f t="shared" si="55"/>
        <v>10000000000</v>
      </c>
      <c r="CA18" s="51">
        <f t="shared" si="56"/>
        <v>10000000000</v>
      </c>
      <c r="CB18" s="51">
        <f t="shared" si="57"/>
        <v>10000000000</v>
      </c>
      <c r="CC18" s="51">
        <f t="shared" si="58"/>
        <v>10000000000</v>
      </c>
      <c r="CD18" s="51">
        <f t="shared" si="59"/>
        <v>10000000000</v>
      </c>
      <c r="CE18" s="51">
        <f t="shared" si="60"/>
        <v>10000000000</v>
      </c>
      <c r="CF18" s="51">
        <f t="shared" si="61"/>
        <v>10000000000</v>
      </c>
      <c r="CG18" s="51">
        <f t="shared" si="62"/>
        <v>10000000000</v>
      </c>
      <c r="CH18" s="51">
        <f t="shared" si="63"/>
        <v>0</v>
      </c>
      <c r="CI18" s="51">
        <f t="shared" si="64"/>
        <v>1000000</v>
      </c>
      <c r="CJ18" s="51">
        <f t="shared" si="65"/>
        <v>10000000000</v>
      </c>
      <c r="CK18" s="51">
        <f t="shared" si="66"/>
        <v>10000000000</v>
      </c>
      <c r="CL18" s="51">
        <f t="shared" si="67"/>
        <v>10000000000</v>
      </c>
      <c r="CM18" s="51">
        <f t="shared" si="68"/>
        <v>10000000000</v>
      </c>
      <c r="CN18" s="51">
        <f t="shared" si="69"/>
        <v>10000000000</v>
      </c>
      <c r="CO18" s="51">
        <f t="shared" si="70"/>
        <v>10000000000</v>
      </c>
      <c r="CP18" s="51">
        <f t="shared" si="71"/>
        <v>10000000000</v>
      </c>
      <c r="CQ18" s="51">
        <f t="shared" si="72"/>
        <v>10000000000</v>
      </c>
      <c r="CR18" s="51">
        <f t="shared" si="73"/>
        <v>10000000000</v>
      </c>
      <c r="CS18" s="51">
        <f t="shared" si="74"/>
        <v>10000000000</v>
      </c>
      <c r="CT18" s="7">
        <f t="shared" si="75"/>
        <v>50000</v>
      </c>
      <c r="CU18" s="7">
        <f t="shared" si="76"/>
        <v>0</v>
      </c>
      <c r="CV18" s="7">
        <f t="shared" si="76"/>
        <v>0</v>
      </c>
      <c r="CW18" s="7">
        <f t="shared" si="76"/>
        <v>0</v>
      </c>
      <c r="CX18" s="7">
        <f t="shared" si="76"/>
        <v>0</v>
      </c>
      <c r="CY18" s="7">
        <f t="shared" si="76"/>
        <v>0</v>
      </c>
      <c r="CZ18" s="7">
        <f t="shared" si="76"/>
        <v>0</v>
      </c>
      <c r="DA18" s="7">
        <f t="shared" si="76"/>
        <v>0</v>
      </c>
      <c r="DB18" s="7">
        <f t="shared" si="76"/>
        <v>0</v>
      </c>
      <c r="DC18" s="7">
        <f t="shared" si="76"/>
        <v>0</v>
      </c>
      <c r="DD18" s="7">
        <f t="shared" si="76"/>
        <v>0</v>
      </c>
      <c r="DE18" s="37">
        <f t="shared" si="77"/>
        <v>0.05</v>
      </c>
      <c r="DF18" s="37">
        <f t="shared" si="78"/>
        <v>0.09</v>
      </c>
      <c r="DG18" s="7">
        <f t="shared" si="79"/>
        <v>0</v>
      </c>
      <c r="DH18" s="7">
        <f t="shared" si="80"/>
        <v>0</v>
      </c>
      <c r="DI18" s="7">
        <f t="shared" si="81"/>
        <v>0</v>
      </c>
      <c r="DJ18" s="7">
        <f t="shared" si="82"/>
        <v>0</v>
      </c>
      <c r="DK18" s="7">
        <f t="shared" si="83"/>
        <v>0</v>
      </c>
      <c r="DL18" s="7">
        <f t="shared" si="84"/>
        <v>0</v>
      </c>
      <c r="DM18" s="7">
        <f t="shared" si="85"/>
        <v>0</v>
      </c>
      <c r="DN18" s="7">
        <f t="shared" si="86"/>
        <v>0</v>
      </c>
      <c r="DO18" s="7">
        <f t="shared" si="87"/>
        <v>0</v>
      </c>
      <c r="DP18" s="7">
        <f t="shared" si="88"/>
        <v>0</v>
      </c>
      <c r="DQ18" s="7">
        <f t="shared" si="89"/>
        <v>1763.6264119411426</v>
      </c>
      <c r="DR18" s="37">
        <f>IF(BT18&lt;=CI18,DE18,IF(BT18&lt;=CJ18,DF18,IF(BT18&lt;AA18,DG18,IF(BT18&lt;AB18,DH18,IF(BT18&lt;AC18,DI18,IF(BT18&lt;AD18,DJ18,IF(BT18&lt;AE18,DK18,IF(BT18&lt;AF18,DL18,IF(BT18&lt;AG18,DM18,IF(BT18&lt;AM19,DN18,IF(BT18&lt;AN18,DO18,DP18)))))))))))</f>
        <v>0.05</v>
      </c>
      <c r="DS18" s="7">
        <f t="shared" si="91"/>
        <v>21.904717220008578</v>
      </c>
      <c r="DT18" s="7" t="b">
        <f t="shared" si="92"/>
        <v>0</v>
      </c>
      <c r="DU18" s="7" t="b">
        <f t="shared" si="93"/>
        <v>0</v>
      </c>
      <c r="DV18" s="7" t="b">
        <f t="shared" si="94"/>
        <v>0</v>
      </c>
      <c r="DW18" s="7" t="b">
        <f t="shared" si="95"/>
        <v>1</v>
      </c>
      <c r="DX18" s="7" t="b">
        <f t="shared" si="96"/>
        <v>0</v>
      </c>
      <c r="DY18" s="207">
        <f t="shared" si="97"/>
        <v>0.77303252508005538</v>
      </c>
      <c r="DZ18" s="7">
        <f t="shared" si="98"/>
        <v>5458.3548171782386</v>
      </c>
      <c r="EA18" s="36">
        <f t="shared" si="99"/>
        <v>0.12</v>
      </c>
      <c r="EB18" s="51">
        <f t="shared" si="170"/>
        <v>5458.3548171782386</v>
      </c>
      <c r="EC18" s="7">
        <f t="shared" si="100"/>
        <v>29255.606026538197</v>
      </c>
      <c r="ED18" s="7">
        <f t="shared" si="101"/>
        <v>118913.95035786861</v>
      </c>
      <c r="EE18" s="7">
        <f t="shared" si="102"/>
        <v>253527.56860497865</v>
      </c>
      <c r="EF18" s="7">
        <f t="shared" si="103"/>
        <v>484104.6186891385</v>
      </c>
      <c r="EG18" s="7">
        <f t="shared" si="104"/>
        <v>614682.98093258811</v>
      </c>
      <c r="EH18" s="7">
        <f t="shared" si="105"/>
        <v>2925.5606026538198</v>
      </c>
      <c r="EI18" s="7">
        <f t="shared" si="106"/>
        <v>13684.561922413468</v>
      </c>
      <c r="EJ18" s="7">
        <f t="shared" si="107"/>
        <v>43299.557936777681</v>
      </c>
      <c r="EK18" s="7">
        <f t="shared" si="108"/>
        <v>98638.049956976043</v>
      </c>
      <c r="EL18" s="7">
        <f t="shared" si="109"/>
        <v>140423.12587487992</v>
      </c>
      <c r="EM18" s="7">
        <f t="shared" si="110"/>
        <v>259769.60523564089</v>
      </c>
      <c r="EN18" s="7">
        <f t="shared" si="111"/>
        <v>325342.51529512304</v>
      </c>
      <c r="EO18" s="7">
        <f t="shared" si="112"/>
        <v>406047.63536833186</v>
      </c>
      <c r="EP18" s="7">
        <f t="shared" si="113"/>
        <v>486752.75544154068</v>
      </c>
      <c r="EQ18" s="7">
        <f t="shared" si="114"/>
        <v>945763.12585791585</v>
      </c>
      <c r="ER18" s="7">
        <f t="shared" si="115"/>
        <v>5266.0090847768752</v>
      </c>
      <c r="ES18" s="10">
        <f t="shared" si="116"/>
        <v>1</v>
      </c>
      <c r="ET18" s="16">
        <f t="shared" si="117"/>
        <v>1</v>
      </c>
      <c r="EU18" s="16">
        <f t="shared" si="118"/>
        <v>24</v>
      </c>
      <c r="EV18" s="7">
        <f t="shared" si="119"/>
        <v>0</v>
      </c>
      <c r="EW18" s="37">
        <f t="shared" si="143"/>
        <v>2.2542350331695767E-2</v>
      </c>
      <c r="EX18" s="7">
        <f t="shared" si="120"/>
        <v>7221.9812291193812</v>
      </c>
      <c r="EY18" s="7">
        <f t="shared" si="171"/>
        <v>5582.8263856269168</v>
      </c>
      <c r="EZ18" s="37">
        <f t="shared" si="121"/>
        <v>0.16999999999999998</v>
      </c>
      <c r="FA18" s="37">
        <f t="shared" si="122"/>
        <v>7.6386891303371535E-2</v>
      </c>
      <c r="FB18" s="7">
        <f t="shared" si="123"/>
        <v>71208.31093404883</v>
      </c>
      <c r="FC18" s="7">
        <f t="shared" si="173"/>
        <v>55046.34040803348</v>
      </c>
      <c r="FD18" s="7">
        <f t="shared" si="144"/>
        <v>3521.5395745954702</v>
      </c>
      <c r="FE18" s="7">
        <f t="shared" si="124"/>
        <v>55000</v>
      </c>
      <c r="FF18" s="7">
        <f t="shared" si="145"/>
        <v>37934.440577426278</v>
      </c>
      <c r="FG18" s="7">
        <f t="shared" si="146"/>
        <v>0</v>
      </c>
      <c r="FH18" s="7">
        <f t="shared" si="147"/>
        <v>7730.3252508005535</v>
      </c>
      <c r="FI18" s="7">
        <f t="shared" si="125"/>
        <v>159.29327619994862</v>
      </c>
      <c r="FJ18" s="7">
        <f t="shared" si="148"/>
        <v>14964.400965433564</v>
      </c>
      <c r="FK18" s="7">
        <f t="shared" si="149"/>
        <v>0</v>
      </c>
      <c r="FL18" s="7">
        <f t="shared" si="150"/>
        <v>0</v>
      </c>
      <c r="FM18" s="7">
        <f t="shared" si="151"/>
        <v>0</v>
      </c>
      <c r="FN18" s="7">
        <f t="shared" si="152"/>
        <v>0</v>
      </c>
      <c r="FO18" s="7">
        <f t="shared" si="153"/>
        <v>0</v>
      </c>
      <c r="FP18" s="7">
        <f t="shared" si="154"/>
        <v>4219.4858071061781</v>
      </c>
      <c r="FQ18" s="7">
        <f t="shared" si="155"/>
        <v>1363.3405785207394</v>
      </c>
      <c r="FR18" s="7">
        <f t="shared" si="156"/>
        <v>0</v>
      </c>
      <c r="FS18" s="7">
        <f t="shared" si="157"/>
        <v>32244.274490812335</v>
      </c>
      <c r="FT18" s="7">
        <f t="shared" si="158"/>
        <v>436.59416310505924</v>
      </c>
      <c r="FU18" s="7">
        <f t="shared" si="159"/>
        <v>0</v>
      </c>
      <c r="FV18" s="7">
        <f t="shared" si="160"/>
        <v>26984.823912325741</v>
      </c>
      <c r="FW18" s="7">
        <f t="shared" si="161"/>
        <v>436.59416310505924</v>
      </c>
      <c r="FX18" s="7">
        <f t="shared" si="162"/>
        <v>0</v>
      </c>
      <c r="FY18" s="7">
        <f t="shared" si="163"/>
        <v>7730.3252508005535</v>
      </c>
      <c r="FZ18" s="7">
        <f t="shared" si="164"/>
        <v>0</v>
      </c>
      <c r="GA18" s="7">
        <f t="shared" si="165"/>
        <v>0</v>
      </c>
      <c r="GB18" s="7">
        <f t="shared" si="166"/>
        <v>26984.823912325741</v>
      </c>
      <c r="GC18" s="7">
        <f t="shared" si="126"/>
        <v>123.13888352912097</v>
      </c>
      <c r="GD18" s="7">
        <f t="shared" si="127"/>
        <v>770561.26485079783</v>
      </c>
      <c r="GE18" s="7">
        <f t="shared" si="128"/>
        <v>1358407.310405405</v>
      </c>
      <c r="GF18" s="7">
        <f t="shared" si="129"/>
        <v>57836.862908892406</v>
      </c>
      <c r="GG18" s="7">
        <f t="shared" si="130"/>
        <v>310081.66643779835</v>
      </c>
      <c r="GH18" s="7">
        <f t="shared" si="131"/>
        <v>0</v>
      </c>
      <c r="GI18" s="7">
        <f t="shared" si="132"/>
        <v>0</v>
      </c>
      <c r="GJ18" s="7">
        <v>1360206.4109472232</v>
      </c>
      <c r="GK18" s="7">
        <v>372337.63333333324</v>
      </c>
    </row>
    <row r="19" spans="1:193" x14ac:dyDescent="0.55000000000000004">
      <c r="A19" s="60">
        <f t="shared" si="0"/>
        <v>2039</v>
      </c>
      <c r="B19" s="60">
        <f t="shared" si="1"/>
        <v>76</v>
      </c>
      <c r="C19" s="60">
        <f t="shared" si="2"/>
        <v>76</v>
      </c>
      <c r="D19" s="7">
        <f t="shared" si="3"/>
        <v>5000</v>
      </c>
      <c r="E19" s="7">
        <f t="shared" si="4"/>
        <v>5000</v>
      </c>
      <c r="F19" s="7">
        <f t="shared" si="5"/>
        <v>0</v>
      </c>
      <c r="G19" s="7">
        <f t="shared" si="6"/>
        <v>0</v>
      </c>
      <c r="H19" s="7">
        <f t="shared" si="7"/>
        <v>36293.213554602116</v>
      </c>
      <c r="I19" s="7">
        <f t="shared" si="8"/>
        <v>13662.330688275304</v>
      </c>
      <c r="J19" s="7">
        <f t="shared" si="9"/>
        <v>49955.544242877419</v>
      </c>
      <c r="K19" s="7">
        <f t="shared" si="10"/>
        <v>10000</v>
      </c>
      <c r="L19" s="7">
        <f t="shared" si="11"/>
        <v>0</v>
      </c>
      <c r="M19" s="7">
        <f t="shared" si="12"/>
        <v>10000</v>
      </c>
      <c r="N19" s="7">
        <f t="shared" si="13"/>
        <v>59955.544242877419</v>
      </c>
      <c r="O19" s="7">
        <f>Q19 + R19</f>
        <v>20404.410197794496</v>
      </c>
      <c r="P19" s="7">
        <v>0</v>
      </c>
      <c r="Q19" s="29">
        <v>12242.646118676694</v>
      </c>
      <c r="R19" s="29">
        <v>8161.7640791178019</v>
      </c>
      <c r="S19" s="7">
        <v>0</v>
      </c>
      <c r="T19" s="7">
        <f t="shared" si="15"/>
        <v>1222.9662857355206</v>
      </c>
      <c r="U19" s="7">
        <f t="shared" si="16"/>
        <v>0</v>
      </c>
      <c r="V19" s="7">
        <f t="shared" si="17"/>
        <v>16982.818013881813</v>
      </c>
      <c r="W19" s="7"/>
      <c r="X19" s="7"/>
      <c r="Y19" s="7">
        <f t="shared" si="18"/>
        <v>10189.690808329084</v>
      </c>
      <c r="Z19" s="7">
        <f t="shared" si="18"/>
        <v>6793.1272055527297</v>
      </c>
      <c r="AA19" s="7">
        <f t="shared" si="19"/>
        <v>0</v>
      </c>
      <c r="AB19" s="7"/>
      <c r="AC19" s="7">
        <f t="shared" si="20"/>
        <v>34941.893878157731</v>
      </c>
      <c r="AD19" s="7">
        <f t="shared" si="21"/>
        <v>0</v>
      </c>
      <c r="AE19" s="7">
        <f t="shared" si="22"/>
        <v>912876.473798858</v>
      </c>
      <c r="AF19" s="9">
        <f t="shared" si="23"/>
        <v>547725.88427931466</v>
      </c>
      <c r="AG19" s="56">
        <f t="shared" si="24"/>
        <v>365150.5895195434</v>
      </c>
      <c r="AH19" s="165">
        <f t="shared" si="25"/>
        <v>0.84</v>
      </c>
      <c r="AI19" s="56">
        <f t="shared" si="133"/>
        <v>947818.36767701572</v>
      </c>
      <c r="AJ19" s="56">
        <f t="shared" si="26"/>
        <v>26481.588682070193</v>
      </c>
      <c r="AK19" s="56">
        <f t="shared" si="27"/>
        <v>0</v>
      </c>
      <c r="AL19" s="56">
        <f t="shared" si="167"/>
        <v>581150.87522215955</v>
      </c>
      <c r="AM19" s="9">
        <f t="shared" si="168"/>
        <v>607632.46390422969</v>
      </c>
      <c r="AN19" s="9">
        <f t="shared" si="28"/>
        <v>37387.228211676309</v>
      </c>
      <c r="AO19" s="9">
        <f t="shared" si="29"/>
        <v>22432.336927005777</v>
      </c>
      <c r="AP19" s="9">
        <f t="shared" si="30"/>
        <v>14954.891284670532</v>
      </c>
      <c r="AQ19" s="9">
        <f t="shared" si="134"/>
        <v>83587.966618850536</v>
      </c>
      <c r="AR19" s="9">
        <f t="shared" si="31"/>
        <v>32000</v>
      </c>
      <c r="AS19" s="9">
        <f t="shared" si="32"/>
        <v>44000</v>
      </c>
      <c r="AT19" s="9">
        <f t="shared" si="33"/>
        <v>37387.228211676309</v>
      </c>
      <c r="AU19" s="9">
        <f>IF(AQ19&lt;AR19,0,MIN(0.85*J19,MIN(AS19-AR19,AQ19-AR19)*0.5*J19+IF(AQ19&gt;AS19,0.85*(AQ19-AS19),0)*J19))</f>
        <v>42462.212606445806</v>
      </c>
      <c r="AV19" s="9">
        <f t="shared" si="136"/>
        <v>58610.194497411831</v>
      </c>
      <c r="AW19" s="7">
        <f t="shared" si="137"/>
        <v>98565.738740289249</v>
      </c>
      <c r="AX19" s="7">
        <f t="shared" si="138"/>
        <v>91072.407103857622</v>
      </c>
      <c r="AY19" s="7">
        <f t="shared" si="34"/>
        <v>1222.9662857355206</v>
      </c>
      <c r="AZ19" s="7">
        <f t="shared" si="139"/>
        <v>0</v>
      </c>
      <c r="BA19" s="7">
        <f t="shared" si="35"/>
        <v>0</v>
      </c>
      <c r="BB19" s="7">
        <f t="shared" si="36"/>
        <v>0</v>
      </c>
      <c r="BC19" s="7">
        <f t="shared" si="37"/>
        <v>0</v>
      </c>
      <c r="BD19" s="7">
        <f t="shared" si="38"/>
        <v>37484.501832002752</v>
      </c>
      <c r="BE19" s="7">
        <f t="shared" si="39"/>
        <v>24653.41329404679</v>
      </c>
      <c r="BF19" s="7">
        <f t="shared" si="140"/>
        <v>24653.41329404679</v>
      </c>
      <c r="BG19" s="7">
        <f t="shared" si="169"/>
        <v>53587.90527185487</v>
      </c>
      <c r="BH19" s="7">
        <f t="shared" si="172"/>
        <v>66418.99380981084</v>
      </c>
      <c r="BI19" s="7">
        <f t="shared" si="141"/>
        <v>53587.90527185487</v>
      </c>
      <c r="BJ19" s="7">
        <f t="shared" si="40"/>
        <v>1222.9662857355206</v>
      </c>
      <c r="BK19" s="7">
        <f t="shared" si="41"/>
        <v>0</v>
      </c>
      <c r="BL19" s="7">
        <f t="shared" si="42"/>
        <v>10000</v>
      </c>
      <c r="BM19" s="7">
        <f t="shared" si="43"/>
        <v>37387.228211676309</v>
      </c>
      <c r="BN19" s="7">
        <f t="shared" si="44"/>
        <v>0</v>
      </c>
      <c r="BO19" s="7">
        <f t="shared" si="45"/>
        <v>0</v>
      </c>
      <c r="BP19" s="7">
        <f t="shared" si="142"/>
        <v>10200</v>
      </c>
      <c r="BQ19" s="7">
        <f t="shared" si="46"/>
        <v>10200</v>
      </c>
      <c r="BR19" s="7">
        <f t="shared" si="47"/>
        <v>0</v>
      </c>
      <c r="BS19" s="7">
        <f t="shared" si="48"/>
        <v>0</v>
      </c>
      <c r="BT19" s="7">
        <f t="shared" si="49"/>
        <v>38410.194497411831</v>
      </c>
      <c r="BU19" s="157">
        <f t="shared" si="50"/>
        <v>2.5158637984890916E-2</v>
      </c>
      <c r="BV19" s="51">
        <f t="shared" si="51"/>
        <v>0</v>
      </c>
      <c r="BW19" s="51">
        <f t="shared" si="52"/>
        <v>1000000</v>
      </c>
      <c r="BX19" s="51">
        <f t="shared" si="53"/>
        <v>10000000000</v>
      </c>
      <c r="BY19" s="51">
        <f t="shared" si="54"/>
        <v>10000000000</v>
      </c>
      <c r="BZ19" s="51">
        <f t="shared" si="55"/>
        <v>10000000000</v>
      </c>
      <c r="CA19" s="51">
        <f t="shared" si="56"/>
        <v>10000000000</v>
      </c>
      <c r="CB19" s="51">
        <f t="shared" si="57"/>
        <v>10000000000</v>
      </c>
      <c r="CC19" s="51">
        <f t="shared" si="58"/>
        <v>10000000000</v>
      </c>
      <c r="CD19" s="51">
        <f t="shared" si="59"/>
        <v>10000000000</v>
      </c>
      <c r="CE19" s="51">
        <f t="shared" si="60"/>
        <v>10000000000</v>
      </c>
      <c r="CF19" s="51">
        <f t="shared" si="61"/>
        <v>10000000000</v>
      </c>
      <c r="CG19" s="51">
        <f t="shared" si="62"/>
        <v>10000000000</v>
      </c>
      <c r="CH19" s="51">
        <f t="shared" si="63"/>
        <v>0</v>
      </c>
      <c r="CI19" s="51">
        <f t="shared" si="64"/>
        <v>1000000</v>
      </c>
      <c r="CJ19" s="51">
        <f t="shared" si="65"/>
        <v>10000000000</v>
      </c>
      <c r="CK19" s="51">
        <f t="shared" si="66"/>
        <v>10000000000</v>
      </c>
      <c r="CL19" s="51">
        <f t="shared" si="67"/>
        <v>10000000000</v>
      </c>
      <c r="CM19" s="51">
        <f t="shared" si="68"/>
        <v>10000000000</v>
      </c>
      <c r="CN19" s="51">
        <f t="shared" si="69"/>
        <v>10000000000</v>
      </c>
      <c r="CO19" s="51">
        <f t="shared" si="70"/>
        <v>10000000000</v>
      </c>
      <c r="CP19" s="51">
        <f t="shared" si="71"/>
        <v>10000000000</v>
      </c>
      <c r="CQ19" s="51">
        <f t="shared" si="72"/>
        <v>10000000000</v>
      </c>
      <c r="CR19" s="51">
        <f t="shared" si="73"/>
        <v>10000000000</v>
      </c>
      <c r="CS19" s="51">
        <f t="shared" si="74"/>
        <v>10000000000</v>
      </c>
      <c r="CT19" s="7">
        <f t="shared" si="75"/>
        <v>50000</v>
      </c>
      <c r="CU19" s="7">
        <f t="shared" si="76"/>
        <v>0</v>
      </c>
      <c r="CV19" s="7">
        <f t="shared" si="76"/>
        <v>0</v>
      </c>
      <c r="CW19" s="7">
        <f t="shared" si="76"/>
        <v>0</v>
      </c>
      <c r="CX19" s="7">
        <f t="shared" si="76"/>
        <v>0</v>
      </c>
      <c r="CY19" s="7">
        <f t="shared" si="76"/>
        <v>0</v>
      </c>
      <c r="CZ19" s="7">
        <f t="shared" si="76"/>
        <v>0</v>
      </c>
      <c r="DA19" s="7">
        <f t="shared" si="76"/>
        <v>0</v>
      </c>
      <c r="DB19" s="7">
        <f t="shared" si="76"/>
        <v>0</v>
      </c>
      <c r="DC19" s="7">
        <f t="shared" si="76"/>
        <v>0</v>
      </c>
      <c r="DD19" s="7">
        <f t="shared" si="76"/>
        <v>0</v>
      </c>
      <c r="DE19" s="37">
        <f t="shared" si="77"/>
        <v>0.05</v>
      </c>
      <c r="DF19" s="37">
        <f t="shared" si="78"/>
        <v>0.09</v>
      </c>
      <c r="DG19" s="7">
        <f t="shared" si="79"/>
        <v>0</v>
      </c>
      <c r="DH19" s="7">
        <f t="shared" si="80"/>
        <v>0</v>
      </c>
      <c r="DI19" s="7">
        <f t="shared" si="81"/>
        <v>0</v>
      </c>
      <c r="DJ19" s="7">
        <f t="shared" si="82"/>
        <v>0</v>
      </c>
      <c r="DK19" s="7">
        <f t="shared" si="83"/>
        <v>0</v>
      </c>
      <c r="DL19" s="7">
        <f t="shared" si="84"/>
        <v>0</v>
      </c>
      <c r="DM19" s="7">
        <f t="shared" si="85"/>
        <v>0</v>
      </c>
      <c r="DN19" s="7">
        <f t="shared" si="86"/>
        <v>0</v>
      </c>
      <c r="DO19" s="7">
        <f t="shared" si="87"/>
        <v>0</v>
      </c>
      <c r="DP19" s="7">
        <f t="shared" si="88"/>
        <v>0</v>
      </c>
      <c r="DQ19" s="7">
        <f t="shared" si="89"/>
        <v>1920.5097248705915</v>
      </c>
      <c r="DR19" s="37">
        <f>IF(BT19&lt;=CI19,DE19,IF(BT19&lt;=CJ19,DF19,IF(BT19&lt;AA19,DG19,IF(BT19&lt;AB19,DH19,IF(BT19&lt;AC19,DI19,IF(BT19&lt;AD19,DJ19,IF(BT19&lt;AE19,DK19,IF(BT19&lt;AF19,DL19,IF(BT19&lt;AG19,DM19,IF(BT19&lt;#REF!,DN19,IF(BT19&lt;AN19,DO19,DP19)))))))))))</f>
        <v>0.05</v>
      </c>
      <c r="DS19" s="7">
        <f t="shared" si="91"/>
        <v>48.317408914481668</v>
      </c>
      <c r="DT19" s="7" t="b">
        <f t="shared" si="92"/>
        <v>0</v>
      </c>
      <c r="DU19" s="7" t="b">
        <f t="shared" si="93"/>
        <v>0</v>
      </c>
      <c r="DV19" s="7" t="b">
        <f t="shared" si="94"/>
        <v>0</v>
      </c>
      <c r="DW19" s="7" t="b">
        <f t="shared" si="95"/>
        <v>1</v>
      </c>
      <c r="DX19" s="7" t="b">
        <f t="shared" si="96"/>
        <v>0</v>
      </c>
      <c r="DY19" s="207">
        <f t="shared" si="97"/>
        <v>0.75787502458828948</v>
      </c>
      <c r="DZ19" s="7">
        <f t="shared" si="98"/>
        <v>5834.9044939222667</v>
      </c>
      <c r="EA19" s="36">
        <f t="shared" si="99"/>
        <v>0.12</v>
      </c>
      <c r="EB19" s="51">
        <f t="shared" si="170"/>
        <v>5834.9044939222667</v>
      </c>
      <c r="EC19" s="7">
        <f t="shared" si="100"/>
        <v>29782.206935015882</v>
      </c>
      <c r="ED19" s="7">
        <f t="shared" si="101"/>
        <v>121054.40146431024</v>
      </c>
      <c r="EE19" s="7">
        <f t="shared" si="102"/>
        <v>258091.06483986825</v>
      </c>
      <c r="EF19" s="7">
        <f t="shared" si="103"/>
        <v>492818.501825543</v>
      </c>
      <c r="EG19" s="7">
        <f t="shared" si="104"/>
        <v>625747.27458937466</v>
      </c>
      <c r="EH19" s="7">
        <f t="shared" si="105"/>
        <v>2978.2206935015884</v>
      </c>
      <c r="EI19" s="7">
        <f t="shared" si="106"/>
        <v>13930.884037016909</v>
      </c>
      <c r="EJ19" s="7">
        <f t="shared" si="107"/>
        <v>44078.94997963967</v>
      </c>
      <c r="EK19" s="7">
        <f t="shared" si="108"/>
        <v>100413.53485620162</v>
      </c>
      <c r="EL19" s="7">
        <f t="shared" si="109"/>
        <v>142950.74214062776</v>
      </c>
      <c r="EM19" s="7">
        <f t="shared" si="110"/>
        <v>264445.45812988241</v>
      </c>
      <c r="EN19" s="7">
        <f t="shared" si="111"/>
        <v>331198.68057043524</v>
      </c>
      <c r="EO19" s="7">
        <f t="shared" si="112"/>
        <v>413356.4928049618</v>
      </c>
      <c r="EP19" s="7">
        <f t="shared" si="113"/>
        <v>495514.30503948842</v>
      </c>
      <c r="EQ19" s="7">
        <f t="shared" si="114"/>
        <v>962786.8621233583</v>
      </c>
      <c r="ER19" s="7">
        <f t="shared" si="115"/>
        <v>5360.7972483028589</v>
      </c>
      <c r="ES19" s="10">
        <f t="shared" si="116"/>
        <v>1</v>
      </c>
      <c r="ET19" s="16">
        <f t="shared" si="117"/>
        <v>1</v>
      </c>
      <c r="EU19" s="16">
        <f t="shared" si="118"/>
        <v>24</v>
      </c>
      <c r="EV19" s="7">
        <f t="shared" si="119"/>
        <v>0</v>
      </c>
      <c r="EW19" s="37">
        <f t="shared" si="143"/>
        <v>2.2615933910552388E-2</v>
      </c>
      <c r="EX19" s="7">
        <f t="shared" si="120"/>
        <v>7755.4142187928583</v>
      </c>
      <c r="EY19" s="7">
        <f t="shared" si="171"/>
        <v>5877.6347417600073</v>
      </c>
      <c r="EZ19" s="37">
        <f t="shared" si="121"/>
        <v>0.16999999999999998</v>
      </c>
      <c r="FA19" s="37">
        <f t="shared" si="122"/>
        <v>7.8682657056196675E-2</v>
      </c>
      <c r="FB19" s="7">
        <f t="shared" si="123"/>
        <v>72604.54022187907</v>
      </c>
      <c r="FC19" s="7">
        <f t="shared" si="173"/>
        <v>55025.167705878055</v>
      </c>
      <c r="FD19" s="7">
        <f t="shared" si="144"/>
        <v>3648.1737318438381</v>
      </c>
      <c r="FE19" s="7">
        <f t="shared" si="124"/>
        <v>55000</v>
      </c>
      <c r="FF19" s="7">
        <f t="shared" si="145"/>
        <v>37860.059321392109</v>
      </c>
      <c r="FG19" s="7">
        <f t="shared" si="146"/>
        <v>0</v>
      </c>
      <c r="FH19" s="7">
        <f t="shared" si="147"/>
        <v>7578.7502458828949</v>
      </c>
      <c r="FI19" s="7">
        <f t="shared" si="125"/>
        <v>329.01538836472633</v>
      </c>
      <c r="FJ19" s="7">
        <f t="shared" si="148"/>
        <v>15463.992880363048</v>
      </c>
      <c r="FK19" s="7">
        <f t="shared" si="149"/>
        <v>0</v>
      </c>
      <c r="FL19" s="7">
        <f t="shared" si="150"/>
        <v>0</v>
      </c>
      <c r="FM19" s="7">
        <f t="shared" si="151"/>
        <v>0</v>
      </c>
      <c r="FN19" s="7">
        <f t="shared" si="152"/>
        <v>0</v>
      </c>
      <c r="FO19" s="7">
        <f t="shared" si="153"/>
        <v>0</v>
      </c>
      <c r="FP19" s="7">
        <f t="shared" si="154"/>
        <v>4422.128386801659</v>
      </c>
      <c r="FQ19" s="7">
        <f t="shared" si="155"/>
        <v>1455.5063549583485</v>
      </c>
      <c r="FR19" s="7">
        <f t="shared" si="156"/>
        <v>0</v>
      </c>
      <c r="FS19" s="7">
        <f t="shared" si="157"/>
        <v>32181.050423183289</v>
      </c>
      <c r="FT19" s="7">
        <f t="shared" si="158"/>
        <v>926.85560387245675</v>
      </c>
      <c r="FU19" s="7">
        <f t="shared" si="159"/>
        <v>0</v>
      </c>
      <c r="FV19" s="7">
        <f t="shared" si="160"/>
        <v>28334.846500212174</v>
      </c>
      <c r="FW19" s="7">
        <f t="shared" si="161"/>
        <v>926.85560387245675</v>
      </c>
      <c r="FX19" s="7">
        <f t="shared" si="162"/>
        <v>0</v>
      </c>
      <c r="FY19" s="7">
        <f t="shared" si="163"/>
        <v>7578.7502458828949</v>
      </c>
      <c r="FZ19" s="7">
        <f t="shared" si="164"/>
        <v>0</v>
      </c>
      <c r="GA19" s="7">
        <f t="shared" si="165"/>
        <v>0</v>
      </c>
      <c r="GB19" s="7">
        <f t="shared" si="166"/>
        <v>28334.846500212174</v>
      </c>
      <c r="GC19" s="7">
        <f t="shared" si="126"/>
        <v>249.35254554684258</v>
      </c>
      <c r="GD19" s="7">
        <f t="shared" si="127"/>
        <v>825586.43255667586</v>
      </c>
      <c r="GE19" s="7">
        <f t="shared" si="128"/>
        <v>1433218.8964609057</v>
      </c>
      <c r="GF19" s="7">
        <f t="shared" si="129"/>
        <v>63714.497650652411</v>
      </c>
      <c r="GG19" s="7">
        <f t="shared" si="130"/>
        <v>347941.72575919045</v>
      </c>
      <c r="GH19" s="7">
        <f t="shared" si="131"/>
        <v>0</v>
      </c>
      <c r="GI19" s="7">
        <f t="shared" si="132"/>
        <v>0</v>
      </c>
      <c r="GJ19" s="7">
        <v>1414197.0136810802</v>
      </c>
      <c r="GK19" s="7">
        <v>399092.43333333323</v>
      </c>
    </row>
    <row r="20" spans="1:193" x14ac:dyDescent="0.55000000000000004">
      <c r="A20" s="60">
        <f t="shared" si="0"/>
        <v>2040</v>
      </c>
      <c r="B20" s="60">
        <f t="shared" si="1"/>
        <v>77</v>
      </c>
      <c r="C20" s="60">
        <f t="shared" si="2"/>
        <v>77</v>
      </c>
      <c r="D20" s="7">
        <f t="shared" si="3"/>
        <v>5000</v>
      </c>
      <c r="E20" s="7">
        <f t="shared" si="4"/>
        <v>5000</v>
      </c>
      <c r="F20" s="7">
        <f t="shared" si="5"/>
        <v>0</v>
      </c>
      <c r="G20" s="7">
        <f t="shared" si="6"/>
        <v>0</v>
      </c>
      <c r="H20" s="7">
        <f t="shared" si="7"/>
        <v>36946.491398584956</v>
      </c>
      <c r="I20" s="7">
        <f t="shared" si="8"/>
        <v>13908.252640664263</v>
      </c>
      <c r="J20" s="7">
        <f t="shared" si="9"/>
        <v>50854.744039249221</v>
      </c>
      <c r="K20" s="7">
        <f t="shared" si="10"/>
        <v>10000</v>
      </c>
      <c r="L20" s="7">
        <f t="shared" si="11"/>
        <v>0</v>
      </c>
      <c r="M20" s="7">
        <f t="shared" si="12"/>
        <v>10000</v>
      </c>
      <c r="N20" s="7">
        <f t="shared" si="13"/>
        <v>60854.744039249221</v>
      </c>
      <c r="O20" s="7">
        <f t="shared" si="14"/>
        <v>21505.151753988255</v>
      </c>
      <c r="P20" s="7">
        <v>0</v>
      </c>
      <c r="Q20" s="29">
        <v>12903.091052392949</v>
      </c>
      <c r="R20" s="29">
        <v>8602.0607015953065</v>
      </c>
      <c r="S20" s="7">
        <v>0</v>
      </c>
      <c r="T20" s="7">
        <f t="shared" si="15"/>
        <v>1979.7857235379222</v>
      </c>
      <c r="U20" s="7">
        <f t="shared" si="16"/>
        <v>0</v>
      </c>
      <c r="V20" s="7">
        <f t="shared" si="17"/>
        <v>18358.449721944417</v>
      </c>
      <c r="W20" s="7"/>
      <c r="X20" s="7"/>
      <c r="Y20" s="7">
        <f t="shared" si="18"/>
        <v>11015.069833166646</v>
      </c>
      <c r="Z20" s="7">
        <f t="shared" si="18"/>
        <v>7343.3798887777684</v>
      </c>
      <c r="AA20" s="7">
        <f t="shared" si="19"/>
        <v>0</v>
      </c>
      <c r="AB20" s="7"/>
      <c r="AC20" s="7">
        <f t="shared" si="20"/>
        <v>56565.306386797769</v>
      </c>
      <c r="AD20" s="7">
        <f t="shared" si="21"/>
        <v>0</v>
      </c>
      <c r="AE20" s="7">
        <f t="shared" si="22"/>
        <v>939090.7781294313</v>
      </c>
      <c r="AF20" s="9">
        <f t="shared" si="23"/>
        <v>563454.46687765862</v>
      </c>
      <c r="AG20" s="56">
        <f t="shared" si="24"/>
        <v>375636.31125177268</v>
      </c>
      <c r="AH20" s="165">
        <f t="shared" si="25"/>
        <v>0.84</v>
      </c>
      <c r="AI20" s="56">
        <f t="shared" si="133"/>
        <v>995656.08451622911</v>
      </c>
      <c r="AJ20" s="56">
        <f t="shared" si="26"/>
        <v>42028.855851704408</v>
      </c>
      <c r="AK20" s="56">
        <f t="shared" si="27"/>
        <v>0</v>
      </c>
      <c r="AL20" s="56">
        <f t="shared" si="167"/>
        <v>586116.9559951002</v>
      </c>
      <c r="AM20" s="9">
        <f t="shared" si="168"/>
        <v>628145.81184680457</v>
      </c>
      <c r="AN20" s="9">
        <f t="shared" si="28"/>
        <v>39863.601475932672</v>
      </c>
      <c r="AO20" s="9">
        <f t="shared" si="29"/>
        <v>23918.160885559595</v>
      </c>
      <c r="AP20" s="9">
        <f t="shared" si="30"/>
        <v>15945.440590373075</v>
      </c>
      <c r="AQ20" s="9">
        <f t="shared" si="134"/>
        <v>87270.759219095198</v>
      </c>
      <c r="AR20" s="9">
        <f t="shared" si="31"/>
        <v>32000</v>
      </c>
      <c r="AS20" s="9">
        <f t="shared" si="32"/>
        <v>44000</v>
      </c>
      <c r="AT20" s="9">
        <f t="shared" si="33"/>
        <v>39863.601475932672</v>
      </c>
      <c r="AU20" s="9">
        <f t="shared" si="135"/>
        <v>43226.532433361834</v>
      </c>
      <c r="AV20" s="9">
        <f t="shared" si="136"/>
        <v>61843.387199470591</v>
      </c>
      <c r="AW20" s="7">
        <f t="shared" si="137"/>
        <v>102698.13123871981</v>
      </c>
      <c r="AX20" s="7">
        <f t="shared" si="138"/>
        <v>95069.919632832432</v>
      </c>
      <c r="AY20" s="7">
        <f t="shared" si="34"/>
        <v>1979.7857235379222</v>
      </c>
      <c r="AZ20" s="7">
        <f t="shared" si="139"/>
        <v>0</v>
      </c>
      <c r="BA20" s="7">
        <f t="shared" si="35"/>
        <v>0</v>
      </c>
      <c r="BB20" s="7">
        <f t="shared" si="36"/>
        <v>0</v>
      </c>
      <c r="BC20" s="7">
        <f t="shared" si="37"/>
        <v>0</v>
      </c>
      <c r="BD20" s="7">
        <f t="shared" si="38"/>
        <v>38159.222864978801</v>
      </c>
      <c r="BE20" s="7">
        <f t="shared" si="39"/>
        <v>25224.265193394898</v>
      </c>
      <c r="BF20" s="7">
        <f t="shared" si="140"/>
        <v>25224.265193394898</v>
      </c>
      <c r="BG20" s="7">
        <f t="shared" si="169"/>
        <v>56910.696767853631</v>
      </c>
      <c r="BH20" s="7">
        <f t="shared" si="172"/>
        <v>69845.654439437538</v>
      </c>
      <c r="BI20" s="7">
        <f t="shared" si="141"/>
        <v>56910.696767853631</v>
      </c>
      <c r="BJ20" s="7">
        <f t="shared" si="40"/>
        <v>1979.7857235379222</v>
      </c>
      <c r="BK20" s="7">
        <f t="shared" si="41"/>
        <v>0</v>
      </c>
      <c r="BL20" s="7">
        <f t="shared" si="42"/>
        <v>10000</v>
      </c>
      <c r="BM20" s="7">
        <f t="shared" si="43"/>
        <v>39863.601475932672</v>
      </c>
      <c r="BN20" s="7">
        <f t="shared" si="44"/>
        <v>0</v>
      </c>
      <c r="BO20" s="7">
        <f t="shared" si="45"/>
        <v>0</v>
      </c>
      <c r="BP20" s="7">
        <f t="shared" si="142"/>
        <v>10200</v>
      </c>
      <c r="BQ20" s="7">
        <f t="shared" si="46"/>
        <v>10200</v>
      </c>
      <c r="BR20" s="7">
        <f t="shared" si="47"/>
        <v>0</v>
      </c>
      <c r="BS20" s="7">
        <f t="shared" si="48"/>
        <v>0</v>
      </c>
      <c r="BT20" s="7">
        <f t="shared" si="49"/>
        <v>41643.387199470591</v>
      </c>
      <c r="BU20" s="157">
        <f t="shared" si="50"/>
        <v>3.8187815852397451E-2</v>
      </c>
      <c r="BV20" s="51">
        <f t="shared" si="51"/>
        <v>0</v>
      </c>
      <c r="BW20" s="51">
        <f t="shared" si="52"/>
        <v>1000000</v>
      </c>
      <c r="BX20" s="51">
        <f t="shared" si="53"/>
        <v>10000000000</v>
      </c>
      <c r="BY20" s="51">
        <f t="shared" si="54"/>
        <v>10000000000</v>
      </c>
      <c r="BZ20" s="51">
        <f t="shared" si="55"/>
        <v>10000000000</v>
      </c>
      <c r="CA20" s="51">
        <f t="shared" si="56"/>
        <v>10000000000</v>
      </c>
      <c r="CB20" s="51">
        <f t="shared" si="57"/>
        <v>10000000000</v>
      </c>
      <c r="CC20" s="51">
        <f t="shared" si="58"/>
        <v>10000000000</v>
      </c>
      <c r="CD20" s="51">
        <f t="shared" si="59"/>
        <v>10000000000</v>
      </c>
      <c r="CE20" s="51">
        <f t="shared" si="60"/>
        <v>10000000000</v>
      </c>
      <c r="CF20" s="51">
        <f t="shared" si="61"/>
        <v>10000000000</v>
      </c>
      <c r="CG20" s="51">
        <f t="shared" si="62"/>
        <v>10000000000</v>
      </c>
      <c r="CH20" s="51">
        <f t="shared" si="63"/>
        <v>0</v>
      </c>
      <c r="CI20" s="51">
        <f t="shared" si="64"/>
        <v>1000000</v>
      </c>
      <c r="CJ20" s="51">
        <f t="shared" si="65"/>
        <v>10000000000</v>
      </c>
      <c r="CK20" s="51">
        <f t="shared" si="66"/>
        <v>10000000000</v>
      </c>
      <c r="CL20" s="51">
        <f t="shared" si="67"/>
        <v>10000000000</v>
      </c>
      <c r="CM20" s="51">
        <f t="shared" si="68"/>
        <v>10000000000</v>
      </c>
      <c r="CN20" s="51">
        <f t="shared" si="69"/>
        <v>10000000000</v>
      </c>
      <c r="CO20" s="51">
        <f t="shared" si="70"/>
        <v>10000000000</v>
      </c>
      <c r="CP20" s="51">
        <f t="shared" si="71"/>
        <v>10000000000</v>
      </c>
      <c r="CQ20" s="51">
        <f t="shared" si="72"/>
        <v>10000000000</v>
      </c>
      <c r="CR20" s="51">
        <f t="shared" si="73"/>
        <v>10000000000</v>
      </c>
      <c r="CS20" s="51">
        <f t="shared" si="74"/>
        <v>10000000000</v>
      </c>
      <c r="CT20" s="7">
        <f t="shared" si="75"/>
        <v>50000</v>
      </c>
      <c r="CU20" s="7">
        <f t="shared" si="76"/>
        <v>0</v>
      </c>
      <c r="CV20" s="7">
        <f t="shared" si="76"/>
        <v>0</v>
      </c>
      <c r="CW20" s="7">
        <f t="shared" si="76"/>
        <v>0</v>
      </c>
      <c r="CX20" s="7">
        <f t="shared" si="76"/>
        <v>0</v>
      </c>
      <c r="CY20" s="7">
        <f t="shared" si="76"/>
        <v>0</v>
      </c>
      <c r="CZ20" s="7">
        <f t="shared" si="76"/>
        <v>0</v>
      </c>
      <c r="DA20" s="7">
        <f t="shared" si="76"/>
        <v>0</v>
      </c>
      <c r="DB20" s="7">
        <f t="shared" si="76"/>
        <v>0</v>
      </c>
      <c r="DC20" s="7">
        <f t="shared" si="76"/>
        <v>0</v>
      </c>
      <c r="DD20" s="7">
        <f t="shared" si="76"/>
        <v>0</v>
      </c>
      <c r="DE20" s="37">
        <f t="shared" si="77"/>
        <v>0.05</v>
      </c>
      <c r="DF20" s="37">
        <f t="shared" si="78"/>
        <v>0.09</v>
      </c>
      <c r="DG20" s="7">
        <f t="shared" si="79"/>
        <v>0</v>
      </c>
      <c r="DH20" s="7">
        <f t="shared" si="80"/>
        <v>0</v>
      </c>
      <c r="DI20" s="7">
        <f t="shared" si="81"/>
        <v>0</v>
      </c>
      <c r="DJ20" s="7">
        <f t="shared" si="82"/>
        <v>0</v>
      </c>
      <c r="DK20" s="7">
        <f t="shared" si="83"/>
        <v>0</v>
      </c>
      <c r="DL20" s="7">
        <f t="shared" si="84"/>
        <v>0</v>
      </c>
      <c r="DM20" s="7">
        <f t="shared" si="85"/>
        <v>0</v>
      </c>
      <c r="DN20" s="7">
        <f t="shared" si="86"/>
        <v>0</v>
      </c>
      <c r="DO20" s="7">
        <f t="shared" si="87"/>
        <v>0</v>
      </c>
      <c r="DP20" s="7">
        <f t="shared" si="88"/>
        <v>0</v>
      </c>
      <c r="DQ20" s="7">
        <f t="shared" si="89"/>
        <v>2082.1693599735295</v>
      </c>
      <c r="DR20" s="37">
        <f t="shared" si="90"/>
        <v>0.05</v>
      </c>
      <c r="DS20" s="7">
        <f t="shared" si="91"/>
        <v>79.513500092173402</v>
      </c>
      <c r="DT20" s="7" t="b">
        <f t="shared" si="92"/>
        <v>0</v>
      </c>
      <c r="DU20" s="7" t="b">
        <f t="shared" si="93"/>
        <v>0</v>
      </c>
      <c r="DV20" s="7" t="b">
        <f t="shared" si="94"/>
        <v>0</v>
      </c>
      <c r="DW20" s="7" t="b">
        <f t="shared" si="95"/>
        <v>1</v>
      </c>
      <c r="DX20" s="7" t="b">
        <f t="shared" si="96"/>
        <v>0</v>
      </c>
      <c r="DY20" s="207">
        <f t="shared" si="97"/>
        <v>0.74301472998851925</v>
      </c>
      <c r="DZ20" s="7">
        <f t="shared" si="98"/>
        <v>6222.9178789455127</v>
      </c>
      <c r="EA20" s="36">
        <f t="shared" si="99"/>
        <v>0.12</v>
      </c>
      <c r="EB20" s="51">
        <f t="shared" si="170"/>
        <v>6222.9178789455127</v>
      </c>
      <c r="EC20" s="7">
        <f t="shared" si="100"/>
        <v>30318.286659846173</v>
      </c>
      <c r="ED20" s="7">
        <f t="shared" si="101"/>
        <v>123233.38069066785</v>
      </c>
      <c r="EE20" s="7">
        <f t="shared" si="102"/>
        <v>262736.70400698594</v>
      </c>
      <c r="EF20" s="7">
        <f t="shared" si="103"/>
        <v>501689.23485840287</v>
      </c>
      <c r="EG20" s="7">
        <f t="shared" si="104"/>
        <v>637010.72553198354</v>
      </c>
      <c r="EH20" s="7">
        <f t="shared" si="105"/>
        <v>3031.8286659846176</v>
      </c>
      <c r="EI20" s="7">
        <f t="shared" si="106"/>
        <v>14181.63994968322</v>
      </c>
      <c r="EJ20" s="7">
        <f t="shared" si="107"/>
        <v>44872.371079273202</v>
      </c>
      <c r="EK20" s="7">
        <f t="shared" si="108"/>
        <v>102220.97848361326</v>
      </c>
      <c r="EL20" s="7">
        <f t="shared" si="109"/>
        <v>145523.85549915908</v>
      </c>
      <c r="EM20" s="7">
        <f t="shared" si="110"/>
        <v>269205.47637622035</v>
      </c>
      <c r="EN20" s="7">
        <f t="shared" si="111"/>
        <v>337160.25682070316</v>
      </c>
      <c r="EO20" s="7">
        <f t="shared" si="112"/>
        <v>420796.90967545117</v>
      </c>
      <c r="EP20" s="7">
        <f t="shared" si="113"/>
        <v>504433.56253019924</v>
      </c>
      <c r="EQ20" s="7">
        <f t="shared" si="114"/>
        <v>980117.02564157883</v>
      </c>
      <c r="ER20" s="7">
        <f t="shared" si="115"/>
        <v>5457.2915987723109</v>
      </c>
      <c r="ES20" s="10">
        <f t="shared" si="116"/>
        <v>1</v>
      </c>
      <c r="ET20" s="16">
        <f t="shared" si="117"/>
        <v>1</v>
      </c>
      <c r="EU20" s="16">
        <f t="shared" si="118"/>
        <v>24</v>
      </c>
      <c r="EV20" s="7">
        <f t="shared" si="119"/>
        <v>0</v>
      </c>
      <c r="EW20" s="37">
        <f t="shared" si="143"/>
        <v>2.2689106359792006E-2</v>
      </c>
      <c r="EX20" s="7">
        <f t="shared" si="120"/>
        <v>8305.0872389190426</v>
      </c>
      <c r="EY20" s="7">
        <f t="shared" si="171"/>
        <v>6170.8021523565294</v>
      </c>
      <c r="EZ20" s="37">
        <f t="shared" si="121"/>
        <v>0.16999999999999998</v>
      </c>
      <c r="FA20" s="37">
        <f t="shared" si="122"/>
        <v>8.0868922722790629E-2</v>
      </c>
      <c r="FB20" s="7">
        <f t="shared" si="123"/>
        <v>74054.808554318428</v>
      </c>
      <c r="FC20" s="7">
        <f t="shared" si="173"/>
        <v>55023.813582338393</v>
      </c>
      <c r="FD20" s="7">
        <f t="shared" si="144"/>
        <v>3775.5258720455631</v>
      </c>
      <c r="FE20" s="7">
        <f t="shared" si="124"/>
        <v>55000</v>
      </c>
      <c r="FF20" s="7">
        <f t="shared" si="145"/>
        <v>37785.823910958017</v>
      </c>
      <c r="FG20" s="7">
        <f t="shared" si="146"/>
        <v>0</v>
      </c>
      <c r="FH20" s="7">
        <f t="shared" si="147"/>
        <v>7430.1472998851923</v>
      </c>
      <c r="FI20" s="7">
        <f t="shared" si="125"/>
        <v>509.47938439097874</v>
      </c>
      <c r="FJ20" s="7">
        <f t="shared" si="148"/>
        <v>15978.644523851715</v>
      </c>
      <c r="FK20" s="7">
        <f t="shared" si="149"/>
        <v>0</v>
      </c>
      <c r="FL20" s="7">
        <f t="shared" si="150"/>
        <v>0</v>
      </c>
      <c r="FM20" s="7">
        <f t="shared" si="151"/>
        <v>0</v>
      </c>
      <c r="FN20" s="7">
        <f t="shared" si="152"/>
        <v>0</v>
      </c>
      <c r="FO20" s="7">
        <f t="shared" si="153"/>
        <v>0</v>
      </c>
      <c r="FP20" s="7">
        <f t="shared" si="154"/>
        <v>4623.7196475654291</v>
      </c>
      <c r="FQ20" s="7">
        <f t="shared" si="155"/>
        <v>1547.0825047911001</v>
      </c>
      <c r="FR20" s="7">
        <f t="shared" si="156"/>
        <v>0</v>
      </c>
      <c r="FS20" s="7">
        <f t="shared" si="157"/>
        <v>32117.950324314312</v>
      </c>
      <c r="FT20" s="7">
        <f t="shared" si="158"/>
        <v>1471.0099548096546</v>
      </c>
      <c r="FU20" s="7">
        <f t="shared" si="159"/>
        <v>0</v>
      </c>
      <c r="FV20" s="7">
        <f t="shared" si="160"/>
        <v>29619.243087010051</v>
      </c>
      <c r="FW20" s="7">
        <f t="shared" si="161"/>
        <v>1471.0099548096546</v>
      </c>
      <c r="FX20" s="7">
        <f t="shared" si="162"/>
        <v>0</v>
      </c>
      <c r="FY20" s="7">
        <f t="shared" si="163"/>
        <v>7430.1472998851923</v>
      </c>
      <c r="FZ20" s="7">
        <f t="shared" si="164"/>
        <v>0</v>
      </c>
      <c r="GA20" s="7">
        <f t="shared" si="165"/>
        <v>0</v>
      </c>
      <c r="GB20" s="7">
        <f t="shared" si="166"/>
        <v>29619.243087010051</v>
      </c>
      <c r="GC20" s="7">
        <f t="shared" si="126"/>
        <v>378.55068722798006</v>
      </c>
      <c r="GD20" s="7">
        <f t="shared" si="127"/>
        <v>880610.24613901426</v>
      </c>
      <c r="GE20" s="7">
        <f t="shared" si="128"/>
        <v>1508756.0579858189</v>
      </c>
      <c r="GF20" s="7">
        <f t="shared" si="129"/>
        <v>69885.299803008937</v>
      </c>
      <c r="GG20" s="7">
        <f t="shared" si="130"/>
        <v>385727.54967014847</v>
      </c>
      <c r="GH20" s="7">
        <f t="shared" si="131"/>
        <v>0</v>
      </c>
      <c r="GI20" s="7">
        <f t="shared" si="132"/>
        <v>0</v>
      </c>
      <c r="GJ20" s="7">
        <v>1467928.4014626171</v>
      </c>
      <c r="GK20" s="7">
        <v>425847.23333333322</v>
      </c>
    </row>
    <row r="21" spans="1:193" x14ac:dyDescent="0.55000000000000004">
      <c r="A21" s="60">
        <f t="shared" si="0"/>
        <v>2041</v>
      </c>
      <c r="B21" s="60">
        <f t="shared" si="1"/>
        <v>78</v>
      </c>
      <c r="C21" s="60">
        <f t="shared" si="2"/>
        <v>78</v>
      </c>
      <c r="D21" s="7">
        <f t="shared" si="3"/>
        <v>5000</v>
      </c>
      <c r="E21" s="7">
        <f t="shared" si="4"/>
        <v>5000</v>
      </c>
      <c r="F21" s="7">
        <f t="shared" si="5"/>
        <v>0</v>
      </c>
      <c r="G21" s="7">
        <f t="shared" si="6"/>
        <v>0</v>
      </c>
      <c r="H21" s="7">
        <f t="shared" si="7"/>
        <v>37611.528243759487</v>
      </c>
      <c r="I21" s="7">
        <f t="shared" si="8"/>
        <v>14158.601188196219</v>
      </c>
      <c r="J21" s="7">
        <f t="shared" si="9"/>
        <v>51770.129431955706</v>
      </c>
      <c r="K21" s="7">
        <f t="shared" si="10"/>
        <v>10000</v>
      </c>
      <c r="L21" s="7">
        <f t="shared" si="11"/>
        <v>0</v>
      </c>
      <c r="M21" s="7">
        <f t="shared" si="12"/>
        <v>10000</v>
      </c>
      <c r="N21" s="7">
        <f t="shared" si="13"/>
        <v>61770.129431955706</v>
      </c>
      <c r="O21" s="7">
        <f t="shared" si="14"/>
        <v>22697.101357795964</v>
      </c>
      <c r="P21" s="7">
        <v>0</v>
      </c>
      <c r="Q21" s="29">
        <v>13618.260814677575</v>
      </c>
      <c r="R21" s="29">
        <v>9078.8405431183892</v>
      </c>
      <c r="S21" s="7">
        <v>0</v>
      </c>
      <c r="T21" s="7">
        <f t="shared" si="15"/>
        <v>2851.784927489784</v>
      </c>
      <c r="U21" s="7">
        <f t="shared" si="16"/>
        <v>0</v>
      </c>
      <c r="V21" s="7">
        <f t="shared" si="17"/>
        <v>19988.843102632734</v>
      </c>
      <c r="W21" s="7"/>
      <c r="X21" s="7"/>
      <c r="Y21" s="7">
        <f t="shared" si="18"/>
        <v>11993.305861579636</v>
      </c>
      <c r="Z21" s="7">
        <f t="shared" si="18"/>
        <v>7995.5372410530981</v>
      </c>
      <c r="AA21" s="7">
        <f t="shared" si="19"/>
        <v>0</v>
      </c>
      <c r="AB21" s="7"/>
      <c r="AC21" s="7">
        <f t="shared" si="20"/>
        <v>81479.56935685096</v>
      </c>
      <c r="AD21" s="7">
        <f t="shared" si="21"/>
        <v>0</v>
      </c>
      <c r="AE21" s="7">
        <f t="shared" si="22"/>
        <v>964318.17130554467</v>
      </c>
      <c r="AF21" s="9">
        <f t="shared" si="23"/>
        <v>578590.90278332669</v>
      </c>
      <c r="AG21" s="56">
        <f t="shared" si="24"/>
        <v>385727.26852221804</v>
      </c>
      <c r="AH21" s="165">
        <f t="shared" si="25"/>
        <v>0.84</v>
      </c>
      <c r="AI21" s="56">
        <f t="shared" si="133"/>
        <v>1045797.7406623956</v>
      </c>
      <c r="AJ21" s="56">
        <f t="shared" si="26"/>
        <v>59353.451201236698</v>
      </c>
      <c r="AK21" s="56">
        <f t="shared" si="27"/>
        <v>0</v>
      </c>
      <c r="AL21" s="56">
        <f t="shared" si="167"/>
        <v>590060.96937991562</v>
      </c>
      <c r="AM21" s="9">
        <f t="shared" si="168"/>
        <v>649414.42058115231</v>
      </c>
      <c r="AN21" s="9">
        <f t="shared" si="28"/>
        <v>42685.944460428698</v>
      </c>
      <c r="AO21" s="9">
        <f t="shared" si="29"/>
        <v>25611.566676257211</v>
      </c>
      <c r="AP21" s="9">
        <f t="shared" si="30"/>
        <v>17074.377784171487</v>
      </c>
      <c r="AQ21" s="9">
        <f t="shared" si="134"/>
        <v>91422.794103896333</v>
      </c>
      <c r="AR21" s="9">
        <f t="shared" si="31"/>
        <v>32000</v>
      </c>
      <c r="AS21" s="9">
        <f t="shared" si="32"/>
        <v>44000</v>
      </c>
      <c r="AT21" s="9">
        <f t="shared" si="33"/>
        <v>42685.944460428698</v>
      </c>
      <c r="AU21" s="9">
        <f t="shared" si="135"/>
        <v>44004.610017162348</v>
      </c>
      <c r="AV21" s="9">
        <f t="shared" si="136"/>
        <v>65537.729387918487</v>
      </c>
      <c r="AW21" s="7">
        <f t="shared" si="137"/>
        <v>107307.85881987419</v>
      </c>
      <c r="AX21" s="7">
        <f t="shared" si="138"/>
        <v>99542.339405080827</v>
      </c>
      <c r="AY21" s="7">
        <f t="shared" si="34"/>
        <v>2851.784927489784</v>
      </c>
      <c r="AZ21" s="7">
        <f t="shared" si="139"/>
        <v>0</v>
      </c>
      <c r="BA21" s="7">
        <f t="shared" si="35"/>
        <v>0</v>
      </c>
      <c r="BB21" s="7">
        <f t="shared" si="36"/>
        <v>0</v>
      </c>
      <c r="BC21" s="7">
        <f t="shared" si="37"/>
        <v>0</v>
      </c>
      <c r="BD21" s="7">
        <f t="shared" si="38"/>
        <v>38846.08887654842</v>
      </c>
      <c r="BE21" s="7">
        <f t="shared" si="39"/>
        <v>25825.540027818875</v>
      </c>
      <c r="BF21" s="7">
        <f t="shared" si="140"/>
        <v>25825.540027818875</v>
      </c>
      <c r="BG21" s="7">
        <f t="shared" si="169"/>
        <v>60696.250528532408</v>
      </c>
      <c r="BH21" s="7">
        <f t="shared" si="172"/>
        <v>73716.799377261952</v>
      </c>
      <c r="BI21" s="7">
        <f t="shared" si="141"/>
        <v>60696.250528532408</v>
      </c>
      <c r="BJ21" s="7">
        <f t="shared" si="40"/>
        <v>2851.784927489784</v>
      </c>
      <c r="BK21" s="7">
        <f t="shared" si="41"/>
        <v>0</v>
      </c>
      <c r="BL21" s="7">
        <f t="shared" si="42"/>
        <v>10000</v>
      </c>
      <c r="BM21" s="7">
        <f t="shared" si="43"/>
        <v>42685.944460428698</v>
      </c>
      <c r="BN21" s="7">
        <f t="shared" si="44"/>
        <v>0</v>
      </c>
      <c r="BO21" s="7">
        <f t="shared" si="45"/>
        <v>0</v>
      </c>
      <c r="BP21" s="7">
        <f t="shared" si="142"/>
        <v>10200</v>
      </c>
      <c r="BQ21" s="7">
        <f t="shared" si="46"/>
        <v>10200</v>
      </c>
      <c r="BR21" s="7">
        <f t="shared" si="47"/>
        <v>0</v>
      </c>
      <c r="BS21" s="7">
        <f t="shared" si="48"/>
        <v>0</v>
      </c>
      <c r="BT21" s="7">
        <f t="shared" si="49"/>
        <v>45337.72938791848</v>
      </c>
      <c r="BU21" s="157">
        <f t="shared" si="50"/>
        <v>5.1348604973939629E-2</v>
      </c>
      <c r="BV21" s="51">
        <f t="shared" si="51"/>
        <v>0</v>
      </c>
      <c r="BW21" s="51">
        <f t="shared" si="52"/>
        <v>1000000</v>
      </c>
      <c r="BX21" s="51">
        <f t="shared" si="53"/>
        <v>10000000000</v>
      </c>
      <c r="BY21" s="51">
        <f t="shared" si="54"/>
        <v>10000000000</v>
      </c>
      <c r="BZ21" s="51">
        <f t="shared" si="55"/>
        <v>10000000000</v>
      </c>
      <c r="CA21" s="51">
        <f t="shared" si="56"/>
        <v>10000000000</v>
      </c>
      <c r="CB21" s="51">
        <f t="shared" si="57"/>
        <v>10000000000</v>
      </c>
      <c r="CC21" s="51">
        <f t="shared" si="58"/>
        <v>10000000000</v>
      </c>
      <c r="CD21" s="51">
        <f t="shared" si="59"/>
        <v>10000000000</v>
      </c>
      <c r="CE21" s="51">
        <f t="shared" si="60"/>
        <v>10000000000</v>
      </c>
      <c r="CF21" s="51">
        <f t="shared" si="61"/>
        <v>10000000000</v>
      </c>
      <c r="CG21" s="51">
        <f t="shared" si="62"/>
        <v>10000000000</v>
      </c>
      <c r="CH21" s="51">
        <f t="shared" si="63"/>
        <v>0</v>
      </c>
      <c r="CI21" s="51">
        <f t="shared" si="64"/>
        <v>1000000</v>
      </c>
      <c r="CJ21" s="51">
        <f t="shared" si="65"/>
        <v>10000000000</v>
      </c>
      <c r="CK21" s="51">
        <f t="shared" si="66"/>
        <v>10000000000</v>
      </c>
      <c r="CL21" s="51">
        <f t="shared" si="67"/>
        <v>10000000000</v>
      </c>
      <c r="CM21" s="51">
        <f t="shared" si="68"/>
        <v>10000000000</v>
      </c>
      <c r="CN21" s="51">
        <f t="shared" si="69"/>
        <v>10000000000</v>
      </c>
      <c r="CO21" s="51">
        <f t="shared" si="70"/>
        <v>10000000000</v>
      </c>
      <c r="CP21" s="51">
        <f t="shared" si="71"/>
        <v>10000000000</v>
      </c>
      <c r="CQ21" s="51">
        <f t="shared" si="72"/>
        <v>10000000000</v>
      </c>
      <c r="CR21" s="51">
        <f t="shared" si="73"/>
        <v>10000000000</v>
      </c>
      <c r="CS21" s="51">
        <f t="shared" si="74"/>
        <v>10000000000</v>
      </c>
      <c r="CT21" s="7">
        <f t="shared" si="75"/>
        <v>50000</v>
      </c>
      <c r="CU21" s="7">
        <f t="shared" si="76"/>
        <v>0</v>
      </c>
      <c r="CV21" s="7">
        <f t="shared" si="76"/>
        <v>0</v>
      </c>
      <c r="CW21" s="7">
        <f t="shared" si="76"/>
        <v>0</v>
      </c>
      <c r="CX21" s="7">
        <f t="shared" si="76"/>
        <v>0</v>
      </c>
      <c r="CY21" s="7">
        <f t="shared" si="76"/>
        <v>0</v>
      </c>
      <c r="CZ21" s="7">
        <f t="shared" si="76"/>
        <v>0</v>
      </c>
      <c r="DA21" s="7">
        <f t="shared" si="76"/>
        <v>0</v>
      </c>
      <c r="DB21" s="7">
        <f t="shared" si="76"/>
        <v>0</v>
      </c>
      <c r="DC21" s="7">
        <f t="shared" si="76"/>
        <v>0</v>
      </c>
      <c r="DD21" s="7">
        <f t="shared" si="76"/>
        <v>0</v>
      </c>
      <c r="DE21" s="37">
        <f t="shared" si="77"/>
        <v>0.05</v>
      </c>
      <c r="DF21" s="37">
        <f t="shared" si="78"/>
        <v>0.09</v>
      </c>
      <c r="DG21" s="7">
        <f t="shared" si="79"/>
        <v>0</v>
      </c>
      <c r="DH21" s="7">
        <f t="shared" si="80"/>
        <v>0</v>
      </c>
      <c r="DI21" s="7">
        <f t="shared" si="81"/>
        <v>0</v>
      </c>
      <c r="DJ21" s="7">
        <f t="shared" si="82"/>
        <v>0</v>
      </c>
      <c r="DK21" s="7">
        <f t="shared" si="83"/>
        <v>0</v>
      </c>
      <c r="DL21" s="7">
        <f t="shared" si="84"/>
        <v>0</v>
      </c>
      <c r="DM21" s="7">
        <f t="shared" si="85"/>
        <v>0</v>
      </c>
      <c r="DN21" s="7">
        <f t="shared" si="86"/>
        <v>0</v>
      </c>
      <c r="DO21" s="7">
        <f t="shared" si="87"/>
        <v>0</v>
      </c>
      <c r="DP21" s="7">
        <f t="shared" si="88"/>
        <v>0</v>
      </c>
      <c r="DQ21" s="7">
        <f t="shared" si="89"/>
        <v>2266.886469395924</v>
      </c>
      <c r="DR21" s="37">
        <f t="shared" si="90"/>
        <v>0.05</v>
      </c>
      <c r="DS21" s="7">
        <f t="shared" si="91"/>
        <v>116.40145783777999</v>
      </c>
      <c r="DT21" s="7" t="b">
        <f t="shared" si="92"/>
        <v>0</v>
      </c>
      <c r="DU21" s="7" t="b">
        <f t="shared" si="93"/>
        <v>0</v>
      </c>
      <c r="DV21" s="7" t="b">
        <f t="shared" si="94"/>
        <v>0</v>
      </c>
      <c r="DW21" s="7" t="b">
        <f t="shared" si="95"/>
        <v>1</v>
      </c>
      <c r="DX21" s="7" t="b">
        <f t="shared" si="96"/>
        <v>0</v>
      </c>
      <c r="DY21" s="207">
        <f t="shared" si="97"/>
        <v>0.72844581371423445</v>
      </c>
      <c r="DZ21" s="7">
        <f t="shared" si="98"/>
        <v>6666.2697470294206</v>
      </c>
      <c r="EA21" s="36">
        <f t="shared" si="99"/>
        <v>0.12</v>
      </c>
      <c r="EB21" s="51">
        <f t="shared" si="170"/>
        <v>6666.2697470294206</v>
      </c>
      <c r="EC21" s="7">
        <f t="shared" si="100"/>
        <v>30864.015819723401</v>
      </c>
      <c r="ED21" s="7">
        <f t="shared" si="101"/>
        <v>125451.58154309986</v>
      </c>
      <c r="EE21" s="7">
        <f t="shared" si="102"/>
        <v>267465.96467911161</v>
      </c>
      <c r="EF21" s="7">
        <f t="shared" si="103"/>
        <v>510719.64108585403</v>
      </c>
      <c r="EG21" s="7">
        <f t="shared" si="104"/>
        <v>648476.91859155917</v>
      </c>
      <c r="EH21" s="7">
        <f t="shared" si="105"/>
        <v>3086.4015819723404</v>
      </c>
      <c r="EI21" s="7">
        <f t="shared" si="106"/>
        <v>14436.909468777516</v>
      </c>
      <c r="EJ21" s="7">
        <f t="shared" si="107"/>
        <v>45680.073758700099</v>
      </c>
      <c r="EK21" s="7">
        <f t="shared" si="108"/>
        <v>104060.95609631829</v>
      </c>
      <c r="EL21" s="7">
        <f t="shared" si="109"/>
        <v>148143.28489814393</v>
      </c>
      <c r="EM21" s="7">
        <f t="shared" si="110"/>
        <v>274051.17495099228</v>
      </c>
      <c r="EN21" s="7">
        <f t="shared" si="111"/>
        <v>343229.14144347579</v>
      </c>
      <c r="EO21" s="7">
        <f t="shared" si="112"/>
        <v>428371.2540496093</v>
      </c>
      <c r="EP21" s="7">
        <f t="shared" si="113"/>
        <v>513513.36665574281</v>
      </c>
      <c r="EQ21" s="7">
        <f t="shared" si="114"/>
        <v>997759.13210312719</v>
      </c>
      <c r="ER21" s="7">
        <f t="shared" si="115"/>
        <v>5555.5228475502117</v>
      </c>
      <c r="ES21" s="10">
        <f t="shared" si="116"/>
        <v>1</v>
      </c>
      <c r="ET21" s="16">
        <f t="shared" si="117"/>
        <v>1</v>
      </c>
      <c r="EU21" s="16">
        <f t="shared" si="118"/>
        <v>24</v>
      </c>
      <c r="EV21" s="7">
        <f t="shared" si="119"/>
        <v>0</v>
      </c>
      <c r="EW21" s="37">
        <f t="shared" si="143"/>
        <v>2.2796125801635678E-2</v>
      </c>
      <c r="EX21" s="7">
        <f t="shared" si="120"/>
        <v>8933.1562164253446</v>
      </c>
      <c r="EY21" s="7">
        <f t="shared" si="171"/>
        <v>6507.320249110332</v>
      </c>
      <c r="EZ21" s="37">
        <f t="shared" si="121"/>
        <v>0.16999999999999998</v>
      </c>
      <c r="FA21" s="37">
        <f t="shared" si="122"/>
        <v>8.3247921584386875E-2</v>
      </c>
      <c r="FB21" s="7">
        <f t="shared" si="123"/>
        <v>75534.074573326332</v>
      </c>
      <c r="FC21" s="7">
        <f t="shared" si="173"/>
        <v>55022.480415718368</v>
      </c>
      <c r="FD21" s="7">
        <f t="shared" si="144"/>
        <v>3918.7762804340928</v>
      </c>
      <c r="FE21" s="7">
        <f t="shared" si="124"/>
        <v>55000</v>
      </c>
      <c r="FF21" s="7">
        <f t="shared" si="145"/>
        <v>37711.734060152208</v>
      </c>
      <c r="FG21" s="7">
        <f t="shared" si="146"/>
        <v>0</v>
      </c>
      <c r="FH21" s="7">
        <f t="shared" si="147"/>
        <v>7284.4581371423446</v>
      </c>
      <c r="FI21" s="7">
        <f t="shared" si="125"/>
        <v>700.91677083456739</v>
      </c>
      <c r="FJ21" s="7">
        <f t="shared" si="148"/>
        <v>16533.608467534137</v>
      </c>
      <c r="FK21" s="7">
        <f t="shared" si="149"/>
        <v>0</v>
      </c>
      <c r="FL21" s="7">
        <f t="shared" si="150"/>
        <v>0</v>
      </c>
      <c r="FM21" s="7">
        <f t="shared" si="151"/>
        <v>0</v>
      </c>
      <c r="FN21" s="7">
        <f t="shared" si="152"/>
        <v>0</v>
      </c>
      <c r="FO21" s="7">
        <f t="shared" si="153"/>
        <v>0</v>
      </c>
      <c r="FP21" s="7">
        <f t="shared" si="154"/>
        <v>4856.0162903134305</v>
      </c>
      <c r="FQ21" s="7">
        <f t="shared" si="155"/>
        <v>1651.303958796902</v>
      </c>
      <c r="FR21" s="7">
        <f t="shared" si="156"/>
        <v>0</v>
      </c>
      <c r="FS21" s="7">
        <f t="shared" si="157"/>
        <v>32054.973951129377</v>
      </c>
      <c r="FT21" s="7">
        <f t="shared" si="158"/>
        <v>2077.3707920432848</v>
      </c>
      <c r="FU21" s="7">
        <f t="shared" si="159"/>
        <v>0</v>
      </c>
      <c r="FV21" s="7">
        <f t="shared" si="160"/>
        <v>31094.3975466376</v>
      </c>
      <c r="FW21" s="7">
        <f t="shared" si="161"/>
        <v>2077.3707920432848</v>
      </c>
      <c r="FX21" s="7">
        <f t="shared" si="162"/>
        <v>0</v>
      </c>
      <c r="FY21" s="7">
        <f t="shared" si="163"/>
        <v>7284.4581371423446</v>
      </c>
      <c r="FZ21" s="7">
        <f t="shared" si="164"/>
        <v>0</v>
      </c>
      <c r="GA21" s="7">
        <f t="shared" si="165"/>
        <v>0</v>
      </c>
      <c r="GB21" s="7">
        <f t="shared" si="166"/>
        <v>31094.3975466376</v>
      </c>
      <c r="GC21" s="7">
        <f t="shared" si="126"/>
        <v>510.57988747654002</v>
      </c>
      <c r="GD21" s="7">
        <f t="shared" si="127"/>
        <v>935632.72655473265</v>
      </c>
      <c r="GE21" s="7">
        <f t="shared" si="128"/>
        <v>1585047.147135885</v>
      </c>
      <c r="GF21" s="7">
        <f t="shared" si="129"/>
        <v>76392.620052119266</v>
      </c>
      <c r="GG21" s="7">
        <f t="shared" si="130"/>
        <v>423439.28373030067</v>
      </c>
      <c r="GH21" s="7">
        <f t="shared" si="131"/>
        <v>0</v>
      </c>
      <c r="GI21" s="7">
        <f t="shared" si="132"/>
        <v>0</v>
      </c>
      <c r="GJ21" s="7">
        <v>1521392.9100183409</v>
      </c>
      <c r="GK21" s="7">
        <v>452602.03333333321</v>
      </c>
    </row>
    <row r="22" spans="1:193" x14ac:dyDescent="0.55000000000000004">
      <c r="A22" s="60">
        <f t="shared" si="0"/>
        <v>2042</v>
      </c>
      <c r="B22" s="60">
        <f t="shared" si="1"/>
        <v>79</v>
      </c>
      <c r="C22" s="60">
        <f t="shared" si="2"/>
        <v>79</v>
      </c>
      <c r="D22" s="7">
        <f t="shared" si="3"/>
        <v>5000</v>
      </c>
      <c r="E22" s="7">
        <f t="shared" si="4"/>
        <v>5000</v>
      </c>
      <c r="F22" s="7">
        <f t="shared" si="5"/>
        <v>0</v>
      </c>
      <c r="G22" s="7">
        <f t="shared" si="6"/>
        <v>0</v>
      </c>
      <c r="H22" s="7">
        <f t="shared" si="7"/>
        <v>38288.53575214716</v>
      </c>
      <c r="I22" s="7">
        <f t="shared" si="8"/>
        <v>14413.456009583751</v>
      </c>
      <c r="J22" s="7">
        <f t="shared" si="9"/>
        <v>52701.991761730911</v>
      </c>
      <c r="K22" s="7">
        <f t="shared" si="10"/>
        <v>10000</v>
      </c>
      <c r="L22" s="7">
        <f t="shared" si="11"/>
        <v>0</v>
      </c>
      <c r="M22" s="7">
        <f t="shared" si="12"/>
        <v>10000</v>
      </c>
      <c r="N22" s="7">
        <f t="shared" si="13"/>
        <v>62701.991761730911</v>
      </c>
      <c r="O22" s="7">
        <f t="shared" si="14"/>
        <v>23956.467974390409</v>
      </c>
      <c r="P22" s="7">
        <v>0</v>
      </c>
      <c r="Q22" s="29">
        <v>14373.880784634242</v>
      </c>
      <c r="R22" s="29">
        <v>9582.5871897561665</v>
      </c>
      <c r="S22" s="7">
        <v>0</v>
      </c>
      <c r="T22" s="7">
        <f t="shared" si="15"/>
        <v>3852.0813684880663</v>
      </c>
      <c r="U22" s="7">
        <f t="shared" si="16"/>
        <v>0</v>
      </c>
      <c r="V22" s="7">
        <f t="shared" si="17"/>
        <v>21745.815025872365</v>
      </c>
      <c r="W22" s="7"/>
      <c r="X22" s="7"/>
      <c r="Y22" s="7">
        <f t="shared" si="18"/>
        <v>13047.489015523417</v>
      </c>
      <c r="Z22" s="7">
        <f t="shared" si="18"/>
        <v>8698.326010348952</v>
      </c>
      <c r="AA22" s="7">
        <f t="shared" si="19"/>
        <v>0</v>
      </c>
      <c r="AB22" s="7"/>
      <c r="AC22" s="7">
        <f t="shared" si="20"/>
        <v>110059.46767108759</v>
      </c>
      <c r="AD22" s="7">
        <f t="shared" si="21"/>
        <v>0</v>
      </c>
      <c r="AE22" s="7">
        <f t="shared" si="22"/>
        <v>988284.44851088268</v>
      </c>
      <c r="AF22" s="9">
        <f t="shared" si="23"/>
        <v>592970.66910652944</v>
      </c>
      <c r="AG22" s="56">
        <f t="shared" si="24"/>
        <v>395313.77940435323</v>
      </c>
      <c r="AH22" s="165">
        <f t="shared" si="25"/>
        <v>0.84</v>
      </c>
      <c r="AI22" s="56">
        <f t="shared" si="133"/>
        <v>1098343.9161819704</v>
      </c>
      <c r="AJ22" s="56">
        <f t="shared" si="26"/>
        <v>78600.351455510667</v>
      </c>
      <c r="AK22" s="56">
        <f t="shared" si="27"/>
        <v>0</v>
      </c>
      <c r="AL22" s="56">
        <f t="shared" si="167"/>
        <v>592868.43352193327</v>
      </c>
      <c r="AM22" s="9">
        <f t="shared" si="168"/>
        <v>671468.78497744398</v>
      </c>
      <c r="AN22" s="9">
        <f t="shared" si="28"/>
        <v>45702.283000262774</v>
      </c>
      <c r="AO22" s="9">
        <f t="shared" si="29"/>
        <v>27421.369800157659</v>
      </c>
      <c r="AP22" s="9">
        <f t="shared" si="30"/>
        <v>18280.913200105118</v>
      </c>
      <c r="AQ22" s="9">
        <f t="shared" si="134"/>
        <v>95905.360249616293</v>
      </c>
      <c r="AR22" s="9">
        <f t="shared" si="31"/>
        <v>32000</v>
      </c>
      <c r="AS22" s="9">
        <f t="shared" si="32"/>
        <v>44000</v>
      </c>
      <c r="AT22" s="9">
        <f t="shared" si="33"/>
        <v>45702.283000262774</v>
      </c>
      <c r="AU22" s="9">
        <f t="shared" si="135"/>
        <v>44796.692997471277</v>
      </c>
      <c r="AV22" s="9">
        <f t="shared" si="136"/>
        <v>69554.364368750845</v>
      </c>
      <c r="AW22" s="7">
        <f t="shared" si="137"/>
        <v>112256.35613048176</v>
      </c>
      <c r="AX22" s="7">
        <f t="shared" si="138"/>
        <v>104351.05736622211</v>
      </c>
      <c r="AY22" s="7">
        <f t="shared" si="34"/>
        <v>3852.0813684880663</v>
      </c>
      <c r="AZ22" s="7">
        <f t="shared" si="139"/>
        <v>0</v>
      </c>
      <c r="BA22" s="7">
        <f t="shared" si="35"/>
        <v>0</v>
      </c>
      <c r="BB22" s="7">
        <f t="shared" si="36"/>
        <v>0</v>
      </c>
      <c r="BC22" s="7">
        <f t="shared" si="37"/>
        <v>0</v>
      </c>
      <c r="BD22" s="7">
        <f t="shared" si="38"/>
        <v>39545.318476326291</v>
      </c>
      <c r="BE22" s="7">
        <f t="shared" si="39"/>
        <v>26450.427540912111</v>
      </c>
      <c r="BF22" s="7">
        <f t="shared" si="140"/>
        <v>26450.427540912111</v>
      </c>
      <c r="BG22" s="7">
        <f t="shared" si="169"/>
        <v>64805.738889895823</v>
      </c>
      <c r="BH22" s="7">
        <f t="shared" si="172"/>
        <v>77900.629825309996</v>
      </c>
      <c r="BI22" s="7">
        <f t="shared" si="141"/>
        <v>64805.738889895823</v>
      </c>
      <c r="BJ22" s="7">
        <f t="shared" si="40"/>
        <v>3852.0813684880663</v>
      </c>
      <c r="BK22" s="7">
        <f t="shared" si="41"/>
        <v>0</v>
      </c>
      <c r="BL22" s="7">
        <f t="shared" si="42"/>
        <v>10000</v>
      </c>
      <c r="BM22" s="7">
        <f t="shared" si="43"/>
        <v>45702.283000262774</v>
      </c>
      <c r="BN22" s="7">
        <f t="shared" si="44"/>
        <v>0</v>
      </c>
      <c r="BO22" s="7">
        <f t="shared" si="45"/>
        <v>0</v>
      </c>
      <c r="BP22" s="7">
        <f t="shared" si="142"/>
        <v>10200</v>
      </c>
      <c r="BQ22" s="7">
        <f t="shared" si="46"/>
        <v>10200</v>
      </c>
      <c r="BR22" s="7">
        <f t="shared" si="47"/>
        <v>0</v>
      </c>
      <c r="BS22" s="7">
        <f t="shared" si="48"/>
        <v>0</v>
      </c>
      <c r="BT22" s="7">
        <f t="shared" si="49"/>
        <v>49354.364368750845</v>
      </c>
      <c r="BU22" s="157">
        <f t="shared" si="50"/>
        <v>6.4681764457036453E-2</v>
      </c>
      <c r="BV22" s="51">
        <f t="shared" si="51"/>
        <v>0</v>
      </c>
      <c r="BW22" s="51">
        <f t="shared" si="52"/>
        <v>1000000</v>
      </c>
      <c r="BX22" s="51">
        <f t="shared" si="53"/>
        <v>10000000000</v>
      </c>
      <c r="BY22" s="51">
        <f t="shared" si="54"/>
        <v>10000000000</v>
      </c>
      <c r="BZ22" s="51">
        <f t="shared" si="55"/>
        <v>10000000000</v>
      </c>
      <c r="CA22" s="51">
        <f t="shared" si="56"/>
        <v>10000000000</v>
      </c>
      <c r="CB22" s="51">
        <f t="shared" si="57"/>
        <v>10000000000</v>
      </c>
      <c r="CC22" s="51">
        <f t="shared" si="58"/>
        <v>10000000000</v>
      </c>
      <c r="CD22" s="51">
        <f t="shared" si="59"/>
        <v>10000000000</v>
      </c>
      <c r="CE22" s="51">
        <f t="shared" si="60"/>
        <v>10000000000</v>
      </c>
      <c r="CF22" s="51">
        <f t="shared" si="61"/>
        <v>10000000000</v>
      </c>
      <c r="CG22" s="51">
        <f t="shared" si="62"/>
        <v>10000000000</v>
      </c>
      <c r="CH22" s="51">
        <f t="shared" si="63"/>
        <v>0</v>
      </c>
      <c r="CI22" s="51">
        <f t="shared" si="64"/>
        <v>1000000</v>
      </c>
      <c r="CJ22" s="51">
        <f t="shared" si="65"/>
        <v>10000000000</v>
      </c>
      <c r="CK22" s="51">
        <f t="shared" si="66"/>
        <v>10000000000</v>
      </c>
      <c r="CL22" s="51">
        <f t="shared" si="67"/>
        <v>10000000000</v>
      </c>
      <c r="CM22" s="51">
        <f t="shared" si="68"/>
        <v>10000000000</v>
      </c>
      <c r="CN22" s="51">
        <f t="shared" si="69"/>
        <v>10000000000</v>
      </c>
      <c r="CO22" s="51">
        <f t="shared" si="70"/>
        <v>10000000000</v>
      </c>
      <c r="CP22" s="51">
        <f t="shared" si="71"/>
        <v>10000000000</v>
      </c>
      <c r="CQ22" s="51">
        <f t="shared" si="72"/>
        <v>10000000000</v>
      </c>
      <c r="CR22" s="51">
        <f t="shared" si="73"/>
        <v>10000000000</v>
      </c>
      <c r="CS22" s="51">
        <f t="shared" si="74"/>
        <v>10000000000</v>
      </c>
      <c r="CT22" s="7">
        <f t="shared" si="75"/>
        <v>50000</v>
      </c>
      <c r="CU22" s="7">
        <f t="shared" si="76"/>
        <v>0</v>
      </c>
      <c r="CV22" s="7">
        <f t="shared" si="76"/>
        <v>0</v>
      </c>
      <c r="CW22" s="7">
        <f t="shared" si="76"/>
        <v>0</v>
      </c>
      <c r="CX22" s="7">
        <f t="shared" si="76"/>
        <v>0</v>
      </c>
      <c r="CY22" s="7">
        <f t="shared" si="76"/>
        <v>0</v>
      </c>
      <c r="CZ22" s="7">
        <f t="shared" si="76"/>
        <v>0</v>
      </c>
      <c r="DA22" s="7">
        <f t="shared" si="76"/>
        <v>0</v>
      </c>
      <c r="DB22" s="7">
        <f t="shared" si="76"/>
        <v>0</v>
      </c>
      <c r="DC22" s="7">
        <f t="shared" si="76"/>
        <v>0</v>
      </c>
      <c r="DD22" s="7">
        <f t="shared" si="76"/>
        <v>0</v>
      </c>
      <c r="DE22" s="37">
        <f t="shared" si="77"/>
        <v>0.05</v>
      </c>
      <c r="DF22" s="37">
        <f t="shared" si="78"/>
        <v>0.09</v>
      </c>
      <c r="DG22" s="7">
        <f t="shared" si="79"/>
        <v>0</v>
      </c>
      <c r="DH22" s="7">
        <f t="shared" si="80"/>
        <v>0</v>
      </c>
      <c r="DI22" s="7">
        <f t="shared" si="81"/>
        <v>0</v>
      </c>
      <c r="DJ22" s="7">
        <f t="shared" si="82"/>
        <v>0</v>
      </c>
      <c r="DK22" s="7">
        <f t="shared" si="83"/>
        <v>0</v>
      </c>
      <c r="DL22" s="7">
        <f t="shared" si="84"/>
        <v>0</v>
      </c>
      <c r="DM22" s="7">
        <f t="shared" si="85"/>
        <v>0</v>
      </c>
      <c r="DN22" s="7">
        <f t="shared" si="86"/>
        <v>0</v>
      </c>
      <c r="DO22" s="7">
        <f t="shared" si="87"/>
        <v>0</v>
      </c>
      <c r="DP22" s="7">
        <f t="shared" si="88"/>
        <v>0</v>
      </c>
      <c r="DQ22" s="7">
        <f t="shared" si="89"/>
        <v>2467.7182184375424</v>
      </c>
      <c r="DR22" s="37">
        <f t="shared" si="90"/>
        <v>0.05</v>
      </c>
      <c r="DS22" s="7">
        <f t="shared" si="91"/>
        <v>159.61636855131474</v>
      </c>
      <c r="DT22" s="7" t="b">
        <f t="shared" si="92"/>
        <v>0</v>
      </c>
      <c r="DU22" s="7" t="b">
        <f t="shared" si="93"/>
        <v>0</v>
      </c>
      <c r="DV22" s="7" t="b">
        <f t="shared" si="94"/>
        <v>0</v>
      </c>
      <c r="DW22" s="7" t="b">
        <f t="shared" si="95"/>
        <v>1</v>
      </c>
      <c r="DX22" s="7" t="b">
        <f t="shared" si="96"/>
        <v>0</v>
      </c>
      <c r="DY22" s="207">
        <f t="shared" si="97"/>
        <v>0.7141625624649357</v>
      </c>
      <c r="DZ22" s="7">
        <f t="shared" si="98"/>
        <v>7148.2973046979305</v>
      </c>
      <c r="EA22" s="36">
        <f t="shared" si="99"/>
        <v>0.12</v>
      </c>
      <c r="EB22" s="51">
        <f t="shared" si="170"/>
        <v>7148.2973046979305</v>
      </c>
      <c r="EC22" s="7">
        <f t="shared" si="100"/>
        <v>31419.568104478425</v>
      </c>
      <c r="ED22" s="7">
        <f t="shared" si="101"/>
        <v>127709.71001087567</v>
      </c>
      <c r="EE22" s="7">
        <f t="shared" si="102"/>
        <v>272280.35204333568</v>
      </c>
      <c r="EF22" s="7">
        <f t="shared" si="103"/>
        <v>519912.59462539945</v>
      </c>
      <c r="EG22" s="7">
        <f t="shared" si="104"/>
        <v>660149.50312620727</v>
      </c>
      <c r="EH22" s="7">
        <f t="shared" si="105"/>
        <v>3141.9568104478426</v>
      </c>
      <c r="EI22" s="7">
        <f t="shared" si="106"/>
        <v>14696.773839215512</v>
      </c>
      <c r="EJ22" s="7">
        <f t="shared" si="107"/>
        <v>46502.315086356713</v>
      </c>
      <c r="EK22" s="7">
        <f t="shared" si="108"/>
        <v>105934.05330605202</v>
      </c>
      <c r="EL22" s="7">
        <f t="shared" si="109"/>
        <v>150809.86402631053</v>
      </c>
      <c r="EM22" s="7">
        <f t="shared" si="110"/>
        <v>278984.09610011015</v>
      </c>
      <c r="EN22" s="7">
        <f t="shared" si="111"/>
        <v>349407.26598945836</v>
      </c>
      <c r="EO22" s="7">
        <f t="shared" si="112"/>
        <v>436081.93662250228</v>
      </c>
      <c r="EP22" s="7">
        <f t="shared" si="113"/>
        <v>522756.6072555462</v>
      </c>
      <c r="EQ22" s="7">
        <f t="shared" si="114"/>
        <v>1015718.7964809836</v>
      </c>
      <c r="ER22" s="7">
        <f t="shared" si="115"/>
        <v>5655.522258806116</v>
      </c>
      <c r="ES22" s="10">
        <f t="shared" si="116"/>
        <v>1</v>
      </c>
      <c r="ET22" s="16">
        <f t="shared" si="117"/>
        <v>1</v>
      </c>
      <c r="EU22" s="16">
        <f t="shared" si="118"/>
        <v>24</v>
      </c>
      <c r="EV22" s="7">
        <f t="shared" si="119"/>
        <v>0</v>
      </c>
      <c r="EW22" s="37">
        <f t="shared" si="143"/>
        <v>2.2907362526157948E-2</v>
      </c>
      <c r="EX22" s="7">
        <f t="shared" si="120"/>
        <v>9616.0155231354729</v>
      </c>
      <c r="EY22" s="7">
        <f t="shared" si="171"/>
        <v>6867.3982867050281</v>
      </c>
      <c r="EZ22" s="37">
        <f t="shared" si="121"/>
        <v>0.16999999999999998</v>
      </c>
      <c r="FA22" s="37">
        <f t="shared" si="122"/>
        <v>8.5661212020442273E-2</v>
      </c>
      <c r="FB22" s="7">
        <f t="shared" si="123"/>
        <v>77042.444212985851</v>
      </c>
      <c r="FC22" s="7">
        <f t="shared" si="173"/>
        <v>55020.829377707829</v>
      </c>
      <c r="FD22" s="7">
        <f t="shared" si="144"/>
        <v>4071.5140197179458</v>
      </c>
      <c r="FE22" s="7">
        <f t="shared" si="124"/>
        <v>55000</v>
      </c>
      <c r="FF22" s="7">
        <f t="shared" si="145"/>
        <v>37637.789483563676</v>
      </c>
      <c r="FG22" s="7">
        <f t="shared" si="146"/>
        <v>0</v>
      </c>
      <c r="FH22" s="7">
        <f t="shared" si="147"/>
        <v>7141.6256246493567</v>
      </c>
      <c r="FI22" s="7">
        <f t="shared" si="125"/>
        <v>905.04810652615265</v>
      </c>
      <c r="FJ22" s="7">
        <f t="shared" si="148"/>
        <v>17108.81255619982</v>
      </c>
      <c r="FK22" s="7">
        <f t="shared" si="149"/>
        <v>0</v>
      </c>
      <c r="FL22" s="7">
        <f t="shared" si="150"/>
        <v>0</v>
      </c>
      <c r="FM22" s="7">
        <f t="shared" si="151"/>
        <v>0</v>
      </c>
      <c r="FN22" s="7">
        <f t="shared" si="152"/>
        <v>0</v>
      </c>
      <c r="FO22" s="7">
        <f t="shared" si="153"/>
        <v>0</v>
      </c>
      <c r="FP22" s="7">
        <f t="shared" si="154"/>
        <v>5105.0463203842673</v>
      </c>
      <c r="FQ22" s="7">
        <f t="shared" si="155"/>
        <v>1762.3519663207612</v>
      </c>
      <c r="FR22" s="7">
        <f t="shared" si="156"/>
        <v>0</v>
      </c>
      <c r="FS22" s="7">
        <f t="shared" si="157"/>
        <v>31992.121061029127</v>
      </c>
      <c r="FT22" s="7">
        <f t="shared" si="158"/>
        <v>2751.0123009428735</v>
      </c>
      <c r="FU22" s="7">
        <f t="shared" si="159"/>
        <v>0</v>
      </c>
      <c r="FV22" s="7">
        <f t="shared" si="160"/>
        <v>32638.859537965334</v>
      </c>
      <c r="FW22" s="7">
        <f t="shared" si="161"/>
        <v>2751.0123009428735</v>
      </c>
      <c r="FX22" s="7">
        <f t="shared" si="162"/>
        <v>0</v>
      </c>
      <c r="FY22" s="7">
        <f t="shared" si="163"/>
        <v>7141.6256246493567</v>
      </c>
      <c r="FZ22" s="7">
        <f t="shared" si="164"/>
        <v>0</v>
      </c>
      <c r="GA22" s="7">
        <f t="shared" si="165"/>
        <v>0</v>
      </c>
      <c r="GB22" s="7">
        <f t="shared" si="166"/>
        <v>32638.859537965334</v>
      </c>
      <c r="GC22" s="7">
        <f t="shared" si="126"/>
        <v>646.35147491075531</v>
      </c>
      <c r="GD22" s="7">
        <f t="shared" si="127"/>
        <v>990653.55593244045</v>
      </c>
      <c r="GE22" s="7">
        <f t="shared" si="128"/>
        <v>1662122.3409098843</v>
      </c>
      <c r="GF22" s="7">
        <f t="shared" si="129"/>
        <v>83260.018338824288</v>
      </c>
      <c r="GG22" s="7">
        <f t="shared" si="130"/>
        <v>461077.07321386435</v>
      </c>
      <c r="GH22" s="7">
        <f t="shared" si="131"/>
        <v>0</v>
      </c>
      <c r="GI22" s="7">
        <f t="shared" si="132"/>
        <v>0</v>
      </c>
      <c r="GJ22" s="7">
        <v>1574582.3224576726</v>
      </c>
      <c r="GK22" s="7">
        <v>479356.8333333332</v>
      </c>
    </row>
    <row r="23" spans="1:193" x14ac:dyDescent="0.55000000000000004">
      <c r="A23" s="60">
        <f t="shared" si="0"/>
        <v>2043</v>
      </c>
      <c r="B23" s="60">
        <f t="shared" si="1"/>
        <v>80</v>
      </c>
      <c r="C23" s="60">
        <f t="shared" si="2"/>
        <v>80</v>
      </c>
      <c r="D23" s="7">
        <f t="shared" si="3"/>
        <v>5000</v>
      </c>
      <c r="E23" s="7">
        <f t="shared" si="4"/>
        <v>5000</v>
      </c>
      <c r="F23" s="7">
        <f t="shared" si="5"/>
        <v>0</v>
      </c>
      <c r="G23" s="7">
        <f t="shared" si="6"/>
        <v>0</v>
      </c>
      <c r="H23" s="7">
        <f t="shared" si="7"/>
        <v>38977.729395685805</v>
      </c>
      <c r="I23" s="7">
        <f t="shared" si="8"/>
        <v>14672.898217756258</v>
      </c>
      <c r="J23" s="7">
        <f t="shared" si="9"/>
        <v>53650.627613442062</v>
      </c>
      <c r="K23" s="7">
        <f t="shared" si="10"/>
        <v>10000</v>
      </c>
      <c r="L23" s="7">
        <f t="shared" si="11"/>
        <v>0</v>
      </c>
      <c r="M23" s="7">
        <f t="shared" si="12"/>
        <v>10000</v>
      </c>
      <c r="N23" s="7">
        <f t="shared" si="13"/>
        <v>63650.627613442062</v>
      </c>
      <c r="O23" s="7">
        <f t="shared" si="14"/>
        <v>25288.260260228686</v>
      </c>
      <c r="P23" s="7">
        <v>0</v>
      </c>
      <c r="Q23" s="29">
        <v>15172.956156137208</v>
      </c>
      <c r="R23" s="29">
        <v>10115.304104091478</v>
      </c>
      <c r="S23" s="7">
        <v>0</v>
      </c>
      <c r="T23" s="7">
        <f t="shared" si="15"/>
        <v>4995.0298677053661</v>
      </c>
      <c r="U23" s="7">
        <f t="shared" si="16"/>
        <v>0</v>
      </c>
      <c r="V23" s="7">
        <f t="shared" si="17"/>
        <v>23636.712438329858</v>
      </c>
      <c r="W23" s="7"/>
      <c r="X23" s="7"/>
      <c r="Y23" s="7">
        <f t="shared" si="18"/>
        <v>14182.027462997912</v>
      </c>
      <c r="Z23" s="7">
        <f t="shared" si="18"/>
        <v>9454.6849753319493</v>
      </c>
      <c r="AA23" s="7">
        <f t="shared" si="19"/>
        <v>0</v>
      </c>
      <c r="AB23" s="7"/>
      <c r="AC23" s="7">
        <f t="shared" si="20"/>
        <v>142715.13907729616</v>
      </c>
      <c r="AD23" s="7">
        <f t="shared" si="21"/>
        <v>0</v>
      </c>
      <c r="AE23" s="7">
        <f t="shared" si="22"/>
        <v>1010682.3010122828</v>
      </c>
      <c r="AF23" s="9">
        <f t="shared" si="23"/>
        <v>606409.38060736959</v>
      </c>
      <c r="AG23" s="56">
        <f t="shared" si="24"/>
        <v>404272.92040491325</v>
      </c>
      <c r="AH23" s="165">
        <f t="shared" si="25"/>
        <v>0.84</v>
      </c>
      <c r="AI23" s="56">
        <f t="shared" si="133"/>
        <v>1153397.440089579</v>
      </c>
      <c r="AJ23" s="56">
        <f t="shared" si="26"/>
        <v>99923.342574491675</v>
      </c>
      <c r="AK23" s="56">
        <f t="shared" si="27"/>
        <v>0</v>
      </c>
      <c r="AL23" s="56">
        <f t="shared" si="167"/>
        <v>594416.49805908534</v>
      </c>
      <c r="AM23" s="9">
        <f t="shared" si="168"/>
        <v>694339.84063357697</v>
      </c>
      <c r="AN23" s="9">
        <f t="shared" si="28"/>
        <v>48924.972698558544</v>
      </c>
      <c r="AO23" s="9">
        <f t="shared" si="29"/>
        <v>29354.983619135121</v>
      </c>
      <c r="AP23" s="9">
        <f t="shared" si="30"/>
        <v>19569.989079423427</v>
      </c>
      <c r="AQ23" s="9">
        <f t="shared" si="134"/>
        <v>100745.31637298493</v>
      </c>
      <c r="AR23" s="9">
        <f t="shared" si="31"/>
        <v>32000</v>
      </c>
      <c r="AS23" s="9">
        <f t="shared" si="32"/>
        <v>44000</v>
      </c>
      <c r="AT23" s="9">
        <f t="shared" si="33"/>
        <v>48924.972698558544</v>
      </c>
      <c r="AU23" s="9">
        <f>IF(AQ23&lt;AR23,0,MIN(0.85*J23,MIN(AS23-AR23,AQ23-AR23)*0.5*J23+IF(AQ23&gt;AS23,0.85*(AQ23-AS23),0)*J23))</f>
        <v>45603.033471425755</v>
      </c>
      <c r="AV23" s="9">
        <f t="shared" si="136"/>
        <v>73920.002566263909</v>
      </c>
      <c r="AW23" s="7">
        <f t="shared" si="137"/>
        <v>117570.63017970597</v>
      </c>
      <c r="AX23" s="7">
        <f t="shared" si="138"/>
        <v>109523.03603768966</v>
      </c>
      <c r="AY23" s="7">
        <f t="shared" si="34"/>
        <v>4995.0298677053661</v>
      </c>
      <c r="AZ23" s="7">
        <f t="shared" si="139"/>
        <v>0</v>
      </c>
      <c r="BA23" s="7">
        <f t="shared" si="35"/>
        <v>0</v>
      </c>
      <c r="BB23" s="7">
        <f t="shared" si="36"/>
        <v>0</v>
      </c>
      <c r="BC23" s="7">
        <f t="shared" si="37"/>
        <v>0</v>
      </c>
      <c r="BD23" s="7">
        <f t="shared" si="38"/>
        <v>40257.134208900163</v>
      </c>
      <c r="BE23" s="7">
        <f t="shared" si="39"/>
        <v>27100.398218592305</v>
      </c>
      <c r="BF23" s="7">
        <f t="shared" si="140"/>
        <v>27100.398218592305</v>
      </c>
      <c r="BG23" s="7">
        <f t="shared" si="169"/>
        <v>69265.901828789501</v>
      </c>
      <c r="BH23" s="7">
        <f t="shared" si="172"/>
        <v>82422.637819097348</v>
      </c>
      <c r="BI23" s="7">
        <f t="shared" si="141"/>
        <v>69265.901828789501</v>
      </c>
      <c r="BJ23" s="7">
        <f t="shared" si="40"/>
        <v>4995.0298677053661</v>
      </c>
      <c r="BK23" s="7">
        <f t="shared" si="41"/>
        <v>0</v>
      </c>
      <c r="BL23" s="7">
        <f t="shared" si="42"/>
        <v>10000</v>
      </c>
      <c r="BM23" s="7">
        <f t="shared" si="43"/>
        <v>48924.972698558544</v>
      </c>
      <c r="BN23" s="7">
        <f t="shared" si="44"/>
        <v>0</v>
      </c>
      <c r="BO23" s="7">
        <f t="shared" si="45"/>
        <v>0</v>
      </c>
      <c r="BP23" s="7">
        <f t="shared" si="142"/>
        <v>10200</v>
      </c>
      <c r="BQ23" s="7">
        <f t="shared" si="46"/>
        <v>10200</v>
      </c>
      <c r="BR23" s="7">
        <f t="shared" si="47"/>
        <v>0</v>
      </c>
      <c r="BS23" s="7">
        <f t="shared" si="48"/>
        <v>0</v>
      </c>
      <c r="BT23" s="7">
        <f t="shared" si="49"/>
        <v>53720.002566263909</v>
      </c>
      <c r="BU23" s="157">
        <f t="shared" si="50"/>
        <v>7.8145019824227502E-2</v>
      </c>
      <c r="BV23" s="51">
        <f t="shared" si="51"/>
        <v>0</v>
      </c>
      <c r="BW23" s="51">
        <f t="shared" si="52"/>
        <v>1000000</v>
      </c>
      <c r="BX23" s="51">
        <f t="shared" si="53"/>
        <v>10000000000</v>
      </c>
      <c r="BY23" s="51">
        <f t="shared" si="54"/>
        <v>10000000000</v>
      </c>
      <c r="BZ23" s="51">
        <f t="shared" si="55"/>
        <v>10000000000</v>
      </c>
      <c r="CA23" s="51">
        <f t="shared" si="56"/>
        <v>10000000000</v>
      </c>
      <c r="CB23" s="51">
        <f t="shared" si="57"/>
        <v>10000000000</v>
      </c>
      <c r="CC23" s="51">
        <f t="shared" si="58"/>
        <v>10000000000</v>
      </c>
      <c r="CD23" s="51">
        <f t="shared" si="59"/>
        <v>10000000000</v>
      </c>
      <c r="CE23" s="51">
        <f t="shared" si="60"/>
        <v>10000000000</v>
      </c>
      <c r="CF23" s="51">
        <f t="shared" si="61"/>
        <v>10000000000</v>
      </c>
      <c r="CG23" s="51">
        <f t="shared" si="62"/>
        <v>10000000000</v>
      </c>
      <c r="CH23" s="51">
        <f t="shared" si="63"/>
        <v>0</v>
      </c>
      <c r="CI23" s="51">
        <f t="shared" si="64"/>
        <v>1000000</v>
      </c>
      <c r="CJ23" s="51">
        <f t="shared" si="65"/>
        <v>10000000000</v>
      </c>
      <c r="CK23" s="51">
        <f t="shared" si="66"/>
        <v>10000000000</v>
      </c>
      <c r="CL23" s="51">
        <f t="shared" si="67"/>
        <v>10000000000</v>
      </c>
      <c r="CM23" s="51">
        <f t="shared" si="68"/>
        <v>10000000000</v>
      </c>
      <c r="CN23" s="51">
        <f t="shared" si="69"/>
        <v>10000000000</v>
      </c>
      <c r="CO23" s="51">
        <f t="shared" si="70"/>
        <v>10000000000</v>
      </c>
      <c r="CP23" s="51">
        <f t="shared" si="71"/>
        <v>10000000000</v>
      </c>
      <c r="CQ23" s="51">
        <f t="shared" si="72"/>
        <v>10000000000</v>
      </c>
      <c r="CR23" s="51">
        <f t="shared" si="73"/>
        <v>10000000000</v>
      </c>
      <c r="CS23" s="51">
        <f t="shared" si="74"/>
        <v>10000000000</v>
      </c>
      <c r="CT23" s="7">
        <f t="shared" si="75"/>
        <v>50000</v>
      </c>
      <c r="CU23" s="7">
        <f t="shared" si="76"/>
        <v>0</v>
      </c>
      <c r="CV23" s="7">
        <f t="shared" si="76"/>
        <v>0</v>
      </c>
      <c r="CW23" s="7">
        <f t="shared" si="76"/>
        <v>0</v>
      </c>
      <c r="CX23" s="7">
        <f t="shared" si="76"/>
        <v>0</v>
      </c>
      <c r="CY23" s="7">
        <f t="shared" si="76"/>
        <v>0</v>
      </c>
      <c r="CZ23" s="7">
        <f t="shared" si="76"/>
        <v>0</v>
      </c>
      <c r="DA23" s="7">
        <f t="shared" si="76"/>
        <v>0</v>
      </c>
      <c r="DB23" s="7">
        <f t="shared" si="76"/>
        <v>0</v>
      </c>
      <c r="DC23" s="7">
        <f t="shared" si="76"/>
        <v>0</v>
      </c>
      <c r="DD23" s="7">
        <f t="shared" si="76"/>
        <v>0</v>
      </c>
      <c r="DE23" s="37">
        <f t="shared" si="77"/>
        <v>0.05</v>
      </c>
      <c r="DF23" s="37">
        <f t="shared" si="78"/>
        <v>0.09</v>
      </c>
      <c r="DG23" s="7">
        <f t="shared" si="79"/>
        <v>0</v>
      </c>
      <c r="DH23" s="7">
        <f t="shared" si="80"/>
        <v>0</v>
      </c>
      <c r="DI23" s="7">
        <f t="shared" si="81"/>
        <v>0</v>
      </c>
      <c r="DJ23" s="7">
        <f t="shared" si="82"/>
        <v>0</v>
      </c>
      <c r="DK23" s="7">
        <f t="shared" si="83"/>
        <v>0</v>
      </c>
      <c r="DL23" s="7">
        <f t="shared" si="84"/>
        <v>0</v>
      </c>
      <c r="DM23" s="7">
        <f t="shared" si="85"/>
        <v>0</v>
      </c>
      <c r="DN23" s="7">
        <f t="shared" si="86"/>
        <v>0</v>
      </c>
      <c r="DO23" s="7">
        <f t="shared" si="87"/>
        <v>0</v>
      </c>
      <c r="DP23" s="7">
        <f t="shared" si="88"/>
        <v>0</v>
      </c>
      <c r="DQ23" s="7">
        <f t="shared" si="89"/>
        <v>2686.0001283131955</v>
      </c>
      <c r="DR23" s="37">
        <f t="shared" si="90"/>
        <v>0.05</v>
      </c>
      <c r="DS23" s="7">
        <f t="shared" si="91"/>
        <v>209.89753327491229</v>
      </c>
      <c r="DT23" s="7" t="b">
        <f t="shared" si="92"/>
        <v>0</v>
      </c>
      <c r="DU23" s="7" t="b">
        <f t="shared" si="93"/>
        <v>0</v>
      </c>
      <c r="DV23" s="7" t="b">
        <f t="shared" si="94"/>
        <v>0</v>
      </c>
      <c r="DW23" s="7" t="b">
        <f t="shared" si="95"/>
        <v>1</v>
      </c>
      <c r="DX23" s="7" t="b">
        <f t="shared" si="96"/>
        <v>0</v>
      </c>
      <c r="DY23" s="207">
        <f t="shared" si="97"/>
        <v>0.7001593749656233</v>
      </c>
      <c r="DZ23" s="7">
        <f t="shared" si="98"/>
        <v>7672.2058128475592</v>
      </c>
      <c r="EA23" s="36">
        <f t="shared" si="99"/>
        <v>0.12</v>
      </c>
      <c r="EB23" s="51">
        <f t="shared" si="170"/>
        <v>7672.2058128475592</v>
      </c>
      <c r="EC23" s="7">
        <f t="shared" si="100"/>
        <v>31985.120330359037</v>
      </c>
      <c r="ED23" s="7">
        <f t="shared" si="101"/>
        <v>130008.48479107143</v>
      </c>
      <c r="EE23" s="7">
        <f t="shared" si="102"/>
        <v>277181.39838011569</v>
      </c>
      <c r="EF23" s="7">
        <f t="shared" si="103"/>
        <v>529271.02132865658</v>
      </c>
      <c r="EG23" s="7">
        <f t="shared" si="104"/>
        <v>672032.19418247894</v>
      </c>
      <c r="EH23" s="7">
        <f t="shared" si="105"/>
        <v>3198.5120330359041</v>
      </c>
      <c r="EI23" s="7">
        <f t="shared" si="106"/>
        <v>14961.31576832139</v>
      </c>
      <c r="EJ23" s="7">
        <f t="shared" si="107"/>
        <v>47339.356757911126</v>
      </c>
      <c r="EK23" s="7">
        <f t="shared" si="108"/>
        <v>107840.86626556094</v>
      </c>
      <c r="EL23" s="7">
        <f t="shared" si="109"/>
        <v>153524.44157878408</v>
      </c>
      <c r="EM23" s="7">
        <f t="shared" si="110"/>
        <v>284005.80982991215</v>
      </c>
      <c r="EN23" s="7">
        <f t="shared" si="111"/>
        <v>355696.59677726857</v>
      </c>
      <c r="EO23" s="7">
        <f t="shared" si="112"/>
        <v>443931.4114817073</v>
      </c>
      <c r="EP23" s="7">
        <f t="shared" si="113"/>
        <v>532166.22618614603</v>
      </c>
      <c r="EQ23" s="7">
        <f t="shared" si="114"/>
        <v>1034001.7348176412</v>
      </c>
      <c r="ER23" s="7">
        <f t="shared" si="115"/>
        <v>5757.3216594646265</v>
      </c>
      <c r="ES23" s="10">
        <f t="shared" si="116"/>
        <v>1</v>
      </c>
      <c r="ET23" s="16">
        <f t="shared" si="117"/>
        <v>1</v>
      </c>
      <c r="EU23" s="16">
        <f t="shared" si="118"/>
        <v>24</v>
      </c>
      <c r="EV23" s="7">
        <f t="shared" si="119"/>
        <v>0</v>
      </c>
      <c r="EW23" s="37">
        <f t="shared" si="143"/>
        <v>2.3023990835343237E-2</v>
      </c>
      <c r="EX23" s="7">
        <f t="shared" si="120"/>
        <v>10358.205941160755</v>
      </c>
      <c r="EY23" s="7">
        <f t="shared" si="171"/>
        <v>7252.3949975283203</v>
      </c>
      <c r="EZ23" s="37">
        <f t="shared" si="121"/>
        <v>0.16999999999999998</v>
      </c>
      <c r="FA23" s="37">
        <f t="shared" si="122"/>
        <v>8.8101985379582484E-2</v>
      </c>
      <c r="FB23" s="7">
        <f t="shared" si="123"/>
        <v>78580.681932509993</v>
      </c>
      <c r="FC23" s="7">
        <f t="shared" si="173"/>
        <v>55019.001146238646</v>
      </c>
      <c r="FD23" s="7">
        <f t="shared" si="144"/>
        <v>4234.4369691423999</v>
      </c>
      <c r="FE23" s="7">
        <f t="shared" si="124"/>
        <v>55000</v>
      </c>
      <c r="FF23" s="7">
        <f t="shared" si="145"/>
        <v>37563.989896341001</v>
      </c>
      <c r="FG23" s="7">
        <f t="shared" si="146"/>
        <v>0</v>
      </c>
      <c r="FH23" s="7">
        <f t="shared" si="147"/>
        <v>7001.5937496562328</v>
      </c>
      <c r="FI23" s="7">
        <f t="shared" si="125"/>
        <v>1123.0355837267225</v>
      </c>
      <c r="FJ23" s="7">
        <f t="shared" si="148"/>
        <v>17705.812497769726</v>
      </c>
      <c r="FK23" s="7">
        <f t="shared" si="149"/>
        <v>0</v>
      </c>
      <c r="FL23" s="7">
        <f t="shared" si="150"/>
        <v>0</v>
      </c>
      <c r="FM23" s="7">
        <f t="shared" si="151"/>
        <v>0</v>
      </c>
      <c r="FN23" s="7">
        <f t="shared" si="152"/>
        <v>0</v>
      </c>
      <c r="FO23" s="7">
        <f t="shared" si="153"/>
        <v>0</v>
      </c>
      <c r="FP23" s="7">
        <f t="shared" si="154"/>
        <v>5371.7668265309685</v>
      </c>
      <c r="FQ23" s="7">
        <f t="shared" si="155"/>
        <v>1880.6281709973509</v>
      </c>
      <c r="FR23" s="7">
        <f t="shared" si="156"/>
        <v>0</v>
      </c>
      <c r="FS23" s="7">
        <f t="shared" si="157"/>
        <v>31929.391411889854</v>
      </c>
      <c r="FT23" s="7">
        <f t="shared" si="158"/>
        <v>3497.3169901072092</v>
      </c>
      <c r="FU23" s="7">
        <f t="shared" si="159"/>
        <v>0</v>
      </c>
      <c r="FV23" s="7">
        <f t="shared" si="160"/>
        <v>34255.278304832937</v>
      </c>
      <c r="FW23" s="7">
        <f t="shared" si="161"/>
        <v>3497.3169901072092</v>
      </c>
      <c r="FX23" s="7">
        <f t="shared" si="162"/>
        <v>0</v>
      </c>
      <c r="FY23" s="7">
        <f t="shared" si="163"/>
        <v>7001.5937496562328</v>
      </c>
      <c r="FZ23" s="7">
        <f t="shared" si="164"/>
        <v>0</v>
      </c>
      <c r="GA23" s="7">
        <f t="shared" si="165"/>
        <v>0</v>
      </c>
      <c r="GB23" s="7">
        <f t="shared" si="166"/>
        <v>34255.278304832937</v>
      </c>
      <c r="GC23" s="7">
        <f t="shared" si="126"/>
        <v>786.30389236625592</v>
      </c>
      <c r="GD23" s="7">
        <f t="shared" si="127"/>
        <v>1045672.5570786791</v>
      </c>
      <c r="GE23" s="7">
        <f t="shared" si="128"/>
        <v>1740012.3977122561</v>
      </c>
      <c r="GF23" s="7">
        <f t="shared" si="129"/>
        <v>90512.413336352605</v>
      </c>
      <c r="GG23" s="7">
        <f t="shared" si="130"/>
        <v>498641.06311020534</v>
      </c>
      <c r="GH23" s="7">
        <f t="shared" si="131"/>
        <v>0</v>
      </c>
      <c r="GI23" s="7">
        <f t="shared" si="132"/>
        <v>0</v>
      </c>
      <c r="GJ23" s="7">
        <v>1627487.8474772477</v>
      </c>
      <c r="GK23" s="7">
        <v>506111.63333333319</v>
      </c>
    </row>
    <row r="24" spans="1:193" x14ac:dyDescent="0.55000000000000004">
      <c r="A24" s="60">
        <f t="shared" si="0"/>
        <v>2044</v>
      </c>
      <c r="B24" s="60">
        <f t="shared" si="1"/>
        <v>81</v>
      </c>
      <c r="C24" s="60">
        <f t="shared" si="2"/>
        <v>81</v>
      </c>
      <c r="D24" s="7">
        <f t="shared" si="3"/>
        <v>5000</v>
      </c>
      <c r="E24" s="7">
        <f t="shared" si="4"/>
        <v>5000</v>
      </c>
      <c r="F24" s="7">
        <f t="shared" si="5"/>
        <v>0</v>
      </c>
      <c r="G24" s="7">
        <f t="shared" si="6"/>
        <v>0</v>
      </c>
      <c r="H24" s="7">
        <f t="shared" si="7"/>
        <v>39679.328524808145</v>
      </c>
      <c r="I24" s="7">
        <f t="shared" si="8"/>
        <v>14937.010385675871</v>
      </c>
      <c r="J24" s="7">
        <f t="shared" si="9"/>
        <v>54616.338910484017</v>
      </c>
      <c r="K24" s="7">
        <f t="shared" si="10"/>
        <v>10000</v>
      </c>
      <c r="L24" s="7">
        <f t="shared" si="11"/>
        <v>0</v>
      </c>
      <c r="M24" s="7">
        <f t="shared" si="12"/>
        <v>10000</v>
      </c>
      <c r="N24" s="7">
        <f t="shared" si="13"/>
        <v>64616.338910484017</v>
      </c>
      <c r="O24" s="7">
        <f t="shared" si="14"/>
        <v>26650.319815353618</v>
      </c>
      <c r="P24" s="7">
        <v>0</v>
      </c>
      <c r="Q24" s="29">
        <v>15990.191889212168</v>
      </c>
      <c r="R24" s="29">
        <v>10660.127926141449</v>
      </c>
      <c r="S24" s="7">
        <v>0</v>
      </c>
      <c r="T24" s="7">
        <f t="shared" si="15"/>
        <v>6288.2502725493041</v>
      </c>
      <c r="U24" s="7">
        <f t="shared" si="16"/>
        <v>0</v>
      </c>
      <c r="V24" s="7">
        <f t="shared" si="17"/>
        <v>25446.70601002179</v>
      </c>
      <c r="W24" s="7"/>
      <c r="X24" s="7"/>
      <c r="Y24" s="7">
        <f t="shared" si="18"/>
        <v>15268.02360601307</v>
      </c>
      <c r="Z24" s="7">
        <f t="shared" si="18"/>
        <v>10178.682404008719</v>
      </c>
      <c r="AA24" s="7">
        <f t="shared" si="19"/>
        <v>0</v>
      </c>
      <c r="AB24" s="7"/>
      <c r="AC24" s="7">
        <f t="shared" si="20"/>
        <v>179664.29350140868</v>
      </c>
      <c r="AD24" s="7">
        <f t="shared" si="21"/>
        <v>0</v>
      </c>
      <c r="AE24" s="7">
        <f t="shared" si="22"/>
        <v>1031448.1755062775</v>
      </c>
      <c r="AF24" s="9">
        <f t="shared" si="23"/>
        <v>618868.90530376637</v>
      </c>
      <c r="AG24" s="56">
        <f t="shared" si="24"/>
        <v>412579.27020251111</v>
      </c>
      <c r="AH24" s="165">
        <f t="shared" si="25"/>
        <v>0.84</v>
      </c>
      <c r="AI24" s="56">
        <f t="shared" si="133"/>
        <v>1211112.4690076862</v>
      </c>
      <c r="AJ24" s="56">
        <f t="shared" si="26"/>
        <v>123327.09749175157</v>
      </c>
      <c r="AK24" s="56">
        <f t="shared" si="27"/>
        <v>0</v>
      </c>
      <c r="AL24" s="56">
        <f t="shared" si="167"/>
        <v>594734.91401215934</v>
      </c>
      <c r="AM24" s="9">
        <f t="shared" si="168"/>
        <v>718062.01150391088</v>
      </c>
      <c r="AN24" s="9">
        <f t="shared" si="28"/>
        <v>52097.025825375407</v>
      </c>
      <c r="AO24" s="9">
        <f t="shared" si="29"/>
        <v>31258.215495225239</v>
      </c>
      <c r="AP24" s="9">
        <f t="shared" si="30"/>
        <v>20838.810330150169</v>
      </c>
      <c r="AQ24" s="9">
        <f t="shared" si="134"/>
        <v>105693.44555316673</v>
      </c>
      <c r="AR24" s="9">
        <f t="shared" si="31"/>
        <v>32000</v>
      </c>
      <c r="AS24" s="9">
        <f t="shared" si="32"/>
        <v>44000</v>
      </c>
      <c r="AT24" s="9">
        <f t="shared" si="33"/>
        <v>52097.025825375407</v>
      </c>
      <c r="AU24" s="9">
        <f t="shared" si="135"/>
        <v>46423.88807391141</v>
      </c>
      <c r="AV24" s="9">
        <f t="shared" si="136"/>
        <v>78385.276097924725</v>
      </c>
      <c r="AW24" s="7">
        <f t="shared" si="137"/>
        <v>123001.61500840874</v>
      </c>
      <c r="AX24" s="7">
        <f t="shared" si="138"/>
        <v>114809.16417183614</v>
      </c>
      <c r="AY24" s="7">
        <f t="shared" si="34"/>
        <v>6288.2502725493041</v>
      </c>
      <c r="AZ24" s="7">
        <f t="shared" si="139"/>
        <v>0</v>
      </c>
      <c r="BA24" s="7">
        <f t="shared" si="35"/>
        <v>0</v>
      </c>
      <c r="BB24" s="7">
        <f t="shared" si="36"/>
        <v>0</v>
      </c>
      <c r="BC24" s="7">
        <f t="shared" si="37"/>
        <v>0</v>
      </c>
      <c r="BD24" s="7">
        <f t="shared" si="38"/>
        <v>40981.762624660369</v>
      </c>
      <c r="BE24" s="7">
        <f t="shared" si="39"/>
        <v>27763.121060800368</v>
      </c>
      <c r="BF24" s="7">
        <f t="shared" si="140"/>
        <v>27763.121060800368</v>
      </c>
      <c r="BG24" s="7">
        <f t="shared" si="169"/>
        <v>73827.401547175774</v>
      </c>
      <c r="BH24" s="7">
        <f t="shared" si="172"/>
        <v>87046.043111035775</v>
      </c>
      <c r="BI24" s="7">
        <f t="shared" si="141"/>
        <v>73827.401547175774</v>
      </c>
      <c r="BJ24" s="7">
        <f t="shared" si="40"/>
        <v>6288.2502725493041</v>
      </c>
      <c r="BK24" s="7">
        <f t="shared" si="41"/>
        <v>0</v>
      </c>
      <c r="BL24" s="7">
        <f t="shared" si="42"/>
        <v>10000</v>
      </c>
      <c r="BM24" s="7">
        <f t="shared" si="43"/>
        <v>52097.025825375407</v>
      </c>
      <c r="BN24" s="7">
        <f t="shared" si="44"/>
        <v>0</v>
      </c>
      <c r="BO24" s="7">
        <f t="shared" si="45"/>
        <v>0</v>
      </c>
      <c r="BP24" s="7">
        <f t="shared" si="142"/>
        <v>10200</v>
      </c>
      <c r="BQ24" s="7">
        <f t="shared" si="46"/>
        <v>10200</v>
      </c>
      <c r="BR24" s="7">
        <f t="shared" si="47"/>
        <v>0</v>
      </c>
      <c r="BS24" s="7">
        <f t="shared" si="48"/>
        <v>0</v>
      </c>
      <c r="BT24" s="7">
        <f t="shared" si="49"/>
        <v>58185.27609792471</v>
      </c>
      <c r="BU24" s="157">
        <f t="shared" si="50"/>
        <v>9.1953277538059597E-2</v>
      </c>
      <c r="BV24" s="51">
        <f t="shared" si="51"/>
        <v>0</v>
      </c>
      <c r="BW24" s="51">
        <f t="shared" si="52"/>
        <v>1000000</v>
      </c>
      <c r="BX24" s="51">
        <f t="shared" si="53"/>
        <v>10000000000</v>
      </c>
      <c r="BY24" s="51">
        <f t="shared" si="54"/>
        <v>10000000000</v>
      </c>
      <c r="BZ24" s="51">
        <f t="shared" si="55"/>
        <v>10000000000</v>
      </c>
      <c r="CA24" s="51">
        <f t="shared" si="56"/>
        <v>10000000000</v>
      </c>
      <c r="CB24" s="51">
        <f t="shared" si="57"/>
        <v>10000000000</v>
      </c>
      <c r="CC24" s="51">
        <f t="shared" si="58"/>
        <v>10000000000</v>
      </c>
      <c r="CD24" s="51">
        <f t="shared" si="59"/>
        <v>10000000000</v>
      </c>
      <c r="CE24" s="51">
        <f t="shared" si="60"/>
        <v>10000000000</v>
      </c>
      <c r="CF24" s="51">
        <f t="shared" si="61"/>
        <v>10000000000</v>
      </c>
      <c r="CG24" s="51">
        <f t="shared" si="62"/>
        <v>10000000000</v>
      </c>
      <c r="CH24" s="51">
        <f t="shared" si="63"/>
        <v>0</v>
      </c>
      <c r="CI24" s="51">
        <f t="shared" si="64"/>
        <v>1000000</v>
      </c>
      <c r="CJ24" s="51">
        <f t="shared" si="65"/>
        <v>10000000000</v>
      </c>
      <c r="CK24" s="51">
        <f t="shared" si="66"/>
        <v>10000000000</v>
      </c>
      <c r="CL24" s="51">
        <f t="shared" si="67"/>
        <v>10000000000</v>
      </c>
      <c r="CM24" s="51">
        <f t="shared" si="68"/>
        <v>10000000000</v>
      </c>
      <c r="CN24" s="51">
        <f t="shared" si="69"/>
        <v>10000000000</v>
      </c>
      <c r="CO24" s="51">
        <f t="shared" si="70"/>
        <v>10000000000</v>
      </c>
      <c r="CP24" s="51">
        <f t="shared" si="71"/>
        <v>10000000000</v>
      </c>
      <c r="CQ24" s="51">
        <f t="shared" si="72"/>
        <v>10000000000</v>
      </c>
      <c r="CR24" s="51">
        <f t="shared" si="73"/>
        <v>10000000000</v>
      </c>
      <c r="CS24" s="51">
        <f t="shared" si="74"/>
        <v>10000000000</v>
      </c>
      <c r="CT24" s="7">
        <f t="shared" si="75"/>
        <v>50000</v>
      </c>
      <c r="CU24" s="7">
        <f t="shared" si="76"/>
        <v>0</v>
      </c>
      <c r="CV24" s="7">
        <f t="shared" si="76"/>
        <v>0</v>
      </c>
      <c r="CW24" s="7">
        <f t="shared" si="76"/>
        <v>0</v>
      </c>
      <c r="CX24" s="7">
        <f t="shared" si="76"/>
        <v>0</v>
      </c>
      <c r="CY24" s="7">
        <f t="shared" si="76"/>
        <v>0</v>
      </c>
      <c r="CZ24" s="7">
        <f t="shared" si="76"/>
        <v>0</v>
      </c>
      <c r="DA24" s="7">
        <f t="shared" si="76"/>
        <v>0</v>
      </c>
      <c r="DB24" s="7">
        <f t="shared" si="76"/>
        <v>0</v>
      </c>
      <c r="DC24" s="7">
        <f t="shared" si="76"/>
        <v>0</v>
      </c>
      <c r="DD24" s="7">
        <f t="shared" si="76"/>
        <v>0</v>
      </c>
      <c r="DE24" s="37">
        <f t="shared" si="77"/>
        <v>0.05</v>
      </c>
      <c r="DF24" s="37">
        <f t="shared" si="78"/>
        <v>0.09</v>
      </c>
      <c r="DG24" s="7">
        <f t="shared" si="79"/>
        <v>0</v>
      </c>
      <c r="DH24" s="7">
        <f t="shared" si="80"/>
        <v>0</v>
      </c>
      <c r="DI24" s="7">
        <f t="shared" si="81"/>
        <v>0</v>
      </c>
      <c r="DJ24" s="7">
        <f t="shared" si="82"/>
        <v>0</v>
      </c>
      <c r="DK24" s="7">
        <f t="shared" si="83"/>
        <v>0</v>
      </c>
      <c r="DL24" s="7">
        <f t="shared" si="84"/>
        <v>0</v>
      </c>
      <c r="DM24" s="7">
        <f t="shared" si="85"/>
        <v>0</v>
      </c>
      <c r="DN24" s="7">
        <f t="shared" si="86"/>
        <v>0</v>
      </c>
      <c r="DO24" s="7">
        <f t="shared" si="87"/>
        <v>0</v>
      </c>
      <c r="DP24" s="7">
        <f t="shared" si="88"/>
        <v>0</v>
      </c>
      <c r="DQ24" s="7">
        <f t="shared" si="89"/>
        <v>2909.2638048962358</v>
      </c>
      <c r="DR24" s="37">
        <f t="shared" si="90"/>
        <v>0.05</v>
      </c>
      <c r="DS24" s="7">
        <f t="shared" si="91"/>
        <v>267.51634208305484</v>
      </c>
      <c r="DT24" s="7" t="b">
        <f t="shared" si="92"/>
        <v>0</v>
      </c>
      <c r="DU24" s="7" t="b">
        <f t="shared" si="93"/>
        <v>0</v>
      </c>
      <c r="DV24" s="7" t="b">
        <f t="shared" si="94"/>
        <v>0</v>
      </c>
      <c r="DW24" s="7" t="b">
        <f t="shared" si="95"/>
        <v>1</v>
      </c>
      <c r="DX24" s="7" t="b">
        <f t="shared" si="96"/>
        <v>0</v>
      </c>
      <c r="DY24" s="207">
        <f t="shared" si="97"/>
        <v>0.68643075977021895</v>
      </c>
      <c r="DZ24" s="7">
        <f t="shared" si="98"/>
        <v>8208.0711357349828</v>
      </c>
      <c r="EA24" s="36">
        <f t="shared" si="99"/>
        <v>0.12</v>
      </c>
      <c r="EB24" s="51">
        <f t="shared" si="170"/>
        <v>8208.0711357349828</v>
      </c>
      <c r="EC24" s="7">
        <f t="shared" si="100"/>
        <v>32560.852496305499</v>
      </c>
      <c r="ED24" s="7">
        <f t="shared" si="101"/>
        <v>132348.63751731071</v>
      </c>
      <c r="EE24" s="7">
        <f t="shared" si="102"/>
        <v>282170.66355095775</v>
      </c>
      <c r="EF24" s="7">
        <f t="shared" si="103"/>
        <v>538797.89971257246</v>
      </c>
      <c r="EG24" s="7">
        <f t="shared" si="104"/>
        <v>684128.77367776353</v>
      </c>
      <c r="EH24" s="7">
        <f t="shared" si="105"/>
        <v>3256.0852496305502</v>
      </c>
      <c r="EI24" s="7">
        <f t="shared" si="106"/>
        <v>15230.619452151175</v>
      </c>
      <c r="EJ24" s="7">
        <f t="shared" si="107"/>
        <v>48191.465179553517</v>
      </c>
      <c r="EK24" s="7">
        <f t="shared" si="108"/>
        <v>109782.00185834104</v>
      </c>
      <c r="EL24" s="7">
        <f t="shared" si="109"/>
        <v>156287.8815272022</v>
      </c>
      <c r="EM24" s="7">
        <f t="shared" si="110"/>
        <v>289117.91440685053</v>
      </c>
      <c r="EN24" s="7">
        <f t="shared" si="111"/>
        <v>362099.13551925943</v>
      </c>
      <c r="EO24" s="7">
        <f t="shared" si="112"/>
        <v>451922.17688837805</v>
      </c>
      <c r="EP24" s="7">
        <f t="shared" si="113"/>
        <v>541745.2182574966</v>
      </c>
      <c r="EQ24" s="7">
        <f t="shared" si="114"/>
        <v>1052613.7660443587</v>
      </c>
      <c r="ER24" s="7">
        <f t="shared" si="115"/>
        <v>5860.9534493349893</v>
      </c>
      <c r="ES24" s="10">
        <f t="shared" si="116"/>
        <v>1</v>
      </c>
      <c r="ET24" s="16">
        <f t="shared" si="117"/>
        <v>1</v>
      </c>
      <c r="EU24" s="16">
        <f t="shared" si="118"/>
        <v>24</v>
      </c>
      <c r="EV24" s="7">
        <f t="shared" si="119"/>
        <v>0</v>
      </c>
      <c r="EW24" s="37">
        <f t="shared" si="143"/>
        <v>2.3105929395234145E-2</v>
      </c>
      <c r="EX24" s="7">
        <f t="shared" si="120"/>
        <v>11117.334940631219</v>
      </c>
      <c r="EY24" s="7">
        <f t="shared" si="171"/>
        <v>7631.2806699174898</v>
      </c>
      <c r="EZ24" s="37">
        <f t="shared" si="121"/>
        <v>0.16999999999999998</v>
      </c>
      <c r="FA24" s="37">
        <f t="shared" si="122"/>
        <v>9.0383650164847076E-2</v>
      </c>
      <c r="FB24" s="7">
        <f t="shared" si="123"/>
        <v>80149.323785206419</v>
      </c>
      <c r="FC24" s="7">
        <f t="shared" si="173"/>
        <v>55016.96122094852</v>
      </c>
      <c r="FD24" s="7">
        <f t="shared" si="144"/>
        <v>4399.0708642641184</v>
      </c>
      <c r="FE24" s="7">
        <f t="shared" si="124"/>
        <v>55000</v>
      </c>
      <c r="FF24" s="7">
        <f t="shared" si="145"/>
        <v>37490.335014191318</v>
      </c>
      <c r="FG24" s="7">
        <f t="shared" si="146"/>
        <v>0</v>
      </c>
      <c r="FH24" s="7">
        <f t="shared" si="147"/>
        <v>6864.307597702189</v>
      </c>
      <c r="FI24" s="7">
        <f t="shared" si="125"/>
        <v>1357.5472346314439</v>
      </c>
      <c r="FJ24" s="7">
        <f t="shared" si="148"/>
        <v>18293.599278972506</v>
      </c>
      <c r="FK24" s="7">
        <f t="shared" si="149"/>
        <v>0</v>
      </c>
      <c r="FL24" s="7">
        <f t="shared" si="150"/>
        <v>0</v>
      </c>
      <c r="FM24" s="7">
        <f t="shared" si="151"/>
        <v>0</v>
      </c>
      <c r="FN24" s="7">
        <f t="shared" si="152"/>
        <v>0</v>
      </c>
      <c r="FO24" s="7">
        <f t="shared" si="153"/>
        <v>0</v>
      </c>
      <c r="FP24" s="7">
        <f t="shared" si="154"/>
        <v>5634.2725059505683</v>
      </c>
      <c r="FQ24" s="7">
        <f t="shared" si="155"/>
        <v>1997.0081639669211</v>
      </c>
      <c r="FR24" s="7">
        <f t="shared" si="156"/>
        <v>0</v>
      </c>
      <c r="FS24" s="7">
        <f t="shared" si="157"/>
        <v>31866.784762062616</v>
      </c>
      <c r="FT24" s="7">
        <f t="shared" si="158"/>
        <v>4316.4484122113054</v>
      </c>
      <c r="FU24" s="7">
        <f t="shared" si="159"/>
        <v>0</v>
      </c>
      <c r="FV24" s="7">
        <f t="shared" si="160"/>
        <v>35761.001019081159</v>
      </c>
      <c r="FW24" s="7">
        <f t="shared" si="161"/>
        <v>4316.4484122113054</v>
      </c>
      <c r="FX24" s="7">
        <f t="shared" si="162"/>
        <v>0</v>
      </c>
      <c r="FY24" s="7">
        <f t="shared" si="163"/>
        <v>6864.307597702189</v>
      </c>
      <c r="FZ24" s="7">
        <f t="shared" si="164"/>
        <v>0</v>
      </c>
      <c r="GA24" s="7">
        <f t="shared" si="165"/>
        <v>0</v>
      </c>
      <c r="GB24" s="7">
        <f t="shared" si="166"/>
        <v>35761.001019081159</v>
      </c>
      <c r="GC24" s="7">
        <f t="shared" si="126"/>
        <v>931.86217969202175</v>
      </c>
      <c r="GD24" s="7">
        <f t="shared" si="127"/>
        <v>1100689.5182996276</v>
      </c>
      <c r="GE24" s="7">
        <f t="shared" si="128"/>
        <v>1818751.5298035385</v>
      </c>
      <c r="GF24" s="7">
        <f t="shared" si="129"/>
        <v>98143.694006270089</v>
      </c>
      <c r="GG24" s="7">
        <f t="shared" si="130"/>
        <v>536131.39812439668</v>
      </c>
      <c r="GH24" s="7">
        <f t="shared" si="131"/>
        <v>0</v>
      </c>
      <c r="GI24" s="7">
        <f t="shared" si="132"/>
        <v>0</v>
      </c>
      <c r="GJ24" s="7">
        <v>1680100.103931718</v>
      </c>
      <c r="GK24" s="7">
        <v>532866.43333333323</v>
      </c>
    </row>
    <row r="25" spans="1:193" x14ac:dyDescent="0.55000000000000004">
      <c r="A25" s="60">
        <f t="shared" si="0"/>
        <v>2045</v>
      </c>
      <c r="B25" s="60">
        <f t="shared" si="1"/>
        <v>82</v>
      </c>
      <c r="C25" s="60">
        <f t="shared" si="2"/>
        <v>82</v>
      </c>
      <c r="D25" s="7">
        <f t="shared" si="3"/>
        <v>5000</v>
      </c>
      <c r="E25" s="7">
        <f t="shared" si="4"/>
        <v>5000</v>
      </c>
      <c r="F25" s="7">
        <f t="shared" si="5"/>
        <v>0</v>
      </c>
      <c r="G25" s="7">
        <f t="shared" si="6"/>
        <v>0</v>
      </c>
      <c r="H25" s="7">
        <f t="shared" si="7"/>
        <v>40393.556438254702</v>
      </c>
      <c r="I25" s="7">
        <f t="shared" si="8"/>
        <v>15205.876572618037</v>
      </c>
      <c r="J25" s="7">
        <f t="shared" si="9"/>
        <v>55599.433010872737</v>
      </c>
      <c r="K25" s="7">
        <f t="shared" si="10"/>
        <v>10000</v>
      </c>
      <c r="L25" s="7">
        <f t="shared" si="11"/>
        <v>0</v>
      </c>
      <c r="M25" s="7">
        <f t="shared" si="12"/>
        <v>10000</v>
      </c>
      <c r="N25" s="7">
        <f t="shared" si="13"/>
        <v>65599.433010872744</v>
      </c>
      <c r="O25" s="7">
        <f t="shared" si="14"/>
        <v>28138.465513425526</v>
      </c>
      <c r="P25" s="7">
        <v>0</v>
      </c>
      <c r="Q25" s="29">
        <v>16883.079308055312</v>
      </c>
      <c r="R25" s="29">
        <v>11255.386205370214</v>
      </c>
      <c r="S25" s="7">
        <v>0</v>
      </c>
      <c r="T25" s="7">
        <f t="shared" si="15"/>
        <v>7755.8849993406247</v>
      </c>
      <c r="U25" s="7">
        <f t="shared" si="16"/>
        <v>0</v>
      </c>
      <c r="V25" s="7">
        <f t="shared" si="17"/>
        <v>27615.489919346222</v>
      </c>
      <c r="W25" s="7"/>
      <c r="X25" s="7"/>
      <c r="Y25" s="7">
        <f t="shared" si="18"/>
        <v>16569.293951607731</v>
      </c>
      <c r="Z25" s="7">
        <f t="shared" si="18"/>
        <v>11046.195967738495</v>
      </c>
      <c r="AA25" s="7">
        <f t="shared" si="19"/>
        <v>0</v>
      </c>
      <c r="AB25" s="7"/>
      <c r="AC25" s="7">
        <f t="shared" si="20"/>
        <v>221596.71426687497</v>
      </c>
      <c r="AD25" s="7">
        <f t="shared" si="21"/>
        <v>0</v>
      </c>
      <c r="AE25" s="7">
        <f t="shared" si="22"/>
        <v>1049958.4887099578</v>
      </c>
      <c r="AF25" s="9">
        <f t="shared" si="23"/>
        <v>629975.09322597447</v>
      </c>
      <c r="AG25" s="56">
        <f t="shared" si="24"/>
        <v>419983.39548398321</v>
      </c>
      <c r="AH25" s="165">
        <f t="shared" si="25"/>
        <v>0.84</v>
      </c>
      <c r="AI25" s="56">
        <f t="shared" si="133"/>
        <v>1271555.2029768329</v>
      </c>
      <c r="AJ25" s="56">
        <f t="shared" si="26"/>
        <v>149128.23621254423</v>
      </c>
      <c r="AK25" s="56">
        <f t="shared" si="27"/>
        <v>0</v>
      </c>
      <c r="AL25" s="56">
        <f t="shared" si="167"/>
        <v>593537.24963841995</v>
      </c>
      <c r="AM25" s="9">
        <f t="shared" si="168"/>
        <v>742665.48585096421</v>
      </c>
      <c r="AN25" s="9">
        <f t="shared" si="28"/>
        <v>55753.955432771749</v>
      </c>
      <c r="AO25" s="9">
        <f t="shared" si="29"/>
        <v>33452.373259663043</v>
      </c>
      <c r="AP25" s="9">
        <f t="shared" si="30"/>
        <v>22301.582173108709</v>
      </c>
      <c r="AQ25" s="9">
        <f t="shared" si="134"/>
        <v>111309.55693754874</v>
      </c>
      <c r="AR25" s="9">
        <f t="shared" si="31"/>
        <v>32000</v>
      </c>
      <c r="AS25" s="9">
        <f t="shared" si="32"/>
        <v>44000</v>
      </c>
      <c r="AT25" s="9">
        <f t="shared" si="33"/>
        <v>55753.955432771749</v>
      </c>
      <c r="AU25" s="9">
        <f t="shared" si="135"/>
        <v>47259.518059241826</v>
      </c>
      <c r="AV25" s="9">
        <f t="shared" si="136"/>
        <v>83509.840432112367</v>
      </c>
      <c r="AW25" s="7">
        <f t="shared" si="137"/>
        <v>129109.27344298511</v>
      </c>
      <c r="AX25" s="7">
        <f t="shared" si="138"/>
        <v>120769.35849135419</v>
      </c>
      <c r="AY25" s="7">
        <f t="shared" si="34"/>
        <v>7755.8849993406247</v>
      </c>
      <c r="AZ25" s="7">
        <f t="shared" si="139"/>
        <v>0</v>
      </c>
      <c r="BA25" s="7">
        <f t="shared" si="35"/>
        <v>0</v>
      </c>
      <c r="BB25" s="7">
        <f t="shared" si="36"/>
        <v>0</v>
      </c>
      <c r="BC25" s="7">
        <f t="shared" si="37"/>
        <v>0</v>
      </c>
      <c r="BD25" s="7">
        <f t="shared" si="38"/>
        <v>41719.43435190426</v>
      </c>
      <c r="BE25" s="7">
        <f t="shared" si="39"/>
        <v>28466.71870811603</v>
      </c>
      <c r="BF25" s="7">
        <f t="shared" si="140"/>
        <v>28466.71870811603</v>
      </c>
      <c r="BG25" s="7">
        <f t="shared" si="169"/>
        <v>79049.924139449926</v>
      </c>
      <c r="BH25" s="7">
        <f t="shared" si="172"/>
        <v>92302.639783238148</v>
      </c>
      <c r="BI25" s="7">
        <f t="shared" si="141"/>
        <v>79049.924139449926</v>
      </c>
      <c r="BJ25" s="7">
        <f t="shared" si="40"/>
        <v>7755.8849993406247</v>
      </c>
      <c r="BK25" s="7">
        <f t="shared" si="41"/>
        <v>0</v>
      </c>
      <c r="BL25" s="7">
        <f t="shared" si="42"/>
        <v>10000</v>
      </c>
      <c r="BM25" s="7">
        <f t="shared" si="43"/>
        <v>55753.955432771749</v>
      </c>
      <c r="BN25" s="7">
        <f t="shared" si="44"/>
        <v>0</v>
      </c>
      <c r="BO25" s="7">
        <f t="shared" si="45"/>
        <v>0</v>
      </c>
      <c r="BP25" s="7">
        <f t="shared" si="142"/>
        <v>10200</v>
      </c>
      <c r="BQ25" s="7">
        <f t="shared" si="46"/>
        <v>10200</v>
      </c>
      <c r="BR25" s="7">
        <f t="shared" si="47"/>
        <v>0</v>
      </c>
      <c r="BS25" s="7">
        <f t="shared" si="48"/>
        <v>0</v>
      </c>
      <c r="BT25" s="7">
        <f t="shared" si="49"/>
        <v>63309.840432112367</v>
      </c>
      <c r="BU25" s="157">
        <f t="shared" si="50"/>
        <v>0.10550811910009955</v>
      </c>
      <c r="BV25" s="51">
        <f t="shared" si="51"/>
        <v>0</v>
      </c>
      <c r="BW25" s="51">
        <f t="shared" si="52"/>
        <v>1000000</v>
      </c>
      <c r="BX25" s="51">
        <f t="shared" si="53"/>
        <v>10000000000</v>
      </c>
      <c r="BY25" s="51">
        <f t="shared" si="54"/>
        <v>10000000000</v>
      </c>
      <c r="BZ25" s="51">
        <f t="shared" si="55"/>
        <v>10000000000</v>
      </c>
      <c r="CA25" s="51">
        <f t="shared" si="56"/>
        <v>10000000000</v>
      </c>
      <c r="CB25" s="51">
        <f t="shared" si="57"/>
        <v>10000000000</v>
      </c>
      <c r="CC25" s="51">
        <f t="shared" si="58"/>
        <v>10000000000</v>
      </c>
      <c r="CD25" s="51">
        <f t="shared" si="59"/>
        <v>10000000000</v>
      </c>
      <c r="CE25" s="51">
        <f t="shared" si="60"/>
        <v>10000000000</v>
      </c>
      <c r="CF25" s="51">
        <f t="shared" si="61"/>
        <v>10000000000</v>
      </c>
      <c r="CG25" s="51">
        <f t="shared" si="62"/>
        <v>10000000000</v>
      </c>
      <c r="CH25" s="51">
        <f t="shared" si="63"/>
        <v>0</v>
      </c>
      <c r="CI25" s="51">
        <f t="shared" si="64"/>
        <v>1000000</v>
      </c>
      <c r="CJ25" s="51">
        <f t="shared" si="65"/>
        <v>10000000000</v>
      </c>
      <c r="CK25" s="51">
        <f t="shared" si="66"/>
        <v>10000000000</v>
      </c>
      <c r="CL25" s="51">
        <f t="shared" si="67"/>
        <v>10000000000</v>
      </c>
      <c r="CM25" s="51">
        <f t="shared" si="68"/>
        <v>10000000000</v>
      </c>
      <c r="CN25" s="51">
        <f t="shared" si="69"/>
        <v>10000000000</v>
      </c>
      <c r="CO25" s="51">
        <f t="shared" si="70"/>
        <v>10000000000</v>
      </c>
      <c r="CP25" s="51">
        <f t="shared" si="71"/>
        <v>10000000000</v>
      </c>
      <c r="CQ25" s="51">
        <f t="shared" si="72"/>
        <v>10000000000</v>
      </c>
      <c r="CR25" s="51">
        <f t="shared" si="73"/>
        <v>10000000000</v>
      </c>
      <c r="CS25" s="51">
        <f t="shared" si="74"/>
        <v>10000000000</v>
      </c>
      <c r="CT25" s="7">
        <f t="shared" si="75"/>
        <v>50000</v>
      </c>
      <c r="CU25" s="7">
        <f t="shared" si="76"/>
        <v>0</v>
      </c>
      <c r="CV25" s="7">
        <f t="shared" si="76"/>
        <v>0</v>
      </c>
      <c r="CW25" s="7">
        <f t="shared" si="76"/>
        <v>0</v>
      </c>
      <c r="CX25" s="7">
        <f t="shared" si="76"/>
        <v>0</v>
      </c>
      <c r="CY25" s="7">
        <f t="shared" si="76"/>
        <v>0</v>
      </c>
      <c r="CZ25" s="7">
        <f t="shared" si="76"/>
        <v>0</v>
      </c>
      <c r="DA25" s="7">
        <f t="shared" si="76"/>
        <v>0</v>
      </c>
      <c r="DB25" s="7">
        <f t="shared" si="76"/>
        <v>0</v>
      </c>
      <c r="DC25" s="7">
        <f t="shared" si="76"/>
        <v>0</v>
      </c>
      <c r="DD25" s="7">
        <f t="shared" si="76"/>
        <v>0</v>
      </c>
      <c r="DE25" s="37">
        <f t="shared" si="77"/>
        <v>0.05</v>
      </c>
      <c r="DF25" s="37">
        <f t="shared" si="78"/>
        <v>0.09</v>
      </c>
      <c r="DG25" s="7">
        <f t="shared" si="79"/>
        <v>0</v>
      </c>
      <c r="DH25" s="7">
        <f t="shared" si="80"/>
        <v>0</v>
      </c>
      <c r="DI25" s="7">
        <f t="shared" si="81"/>
        <v>0</v>
      </c>
      <c r="DJ25" s="7">
        <f t="shared" si="82"/>
        <v>0</v>
      </c>
      <c r="DK25" s="7">
        <f t="shared" si="83"/>
        <v>0</v>
      </c>
      <c r="DL25" s="7">
        <f t="shared" si="84"/>
        <v>0</v>
      </c>
      <c r="DM25" s="7">
        <f t="shared" si="85"/>
        <v>0</v>
      </c>
      <c r="DN25" s="7">
        <f t="shared" si="86"/>
        <v>0</v>
      </c>
      <c r="DO25" s="7">
        <f t="shared" si="87"/>
        <v>0</v>
      </c>
      <c r="DP25" s="7">
        <f t="shared" si="88"/>
        <v>0</v>
      </c>
      <c r="DQ25" s="7">
        <f t="shared" si="89"/>
        <v>3165.4920216056184</v>
      </c>
      <c r="DR25" s="37">
        <f t="shared" si="90"/>
        <v>0.05</v>
      </c>
      <c r="DS25" s="7">
        <f t="shared" si="91"/>
        <v>333.98510922598047</v>
      </c>
      <c r="DT25" s="7" t="b">
        <f t="shared" si="92"/>
        <v>0</v>
      </c>
      <c r="DU25" s="7" t="b">
        <f t="shared" si="93"/>
        <v>0</v>
      </c>
      <c r="DV25" s="7" t="b">
        <f t="shared" si="94"/>
        <v>0</v>
      </c>
      <c r="DW25" s="7" t="b">
        <f t="shared" si="95"/>
        <v>1</v>
      </c>
      <c r="DX25" s="7" t="b">
        <f t="shared" si="96"/>
        <v>0</v>
      </c>
      <c r="DY25" s="207">
        <f t="shared" si="97"/>
        <v>0.67297133310805779</v>
      </c>
      <c r="DZ25" s="7">
        <f t="shared" si="98"/>
        <v>8823.0519399092118</v>
      </c>
      <c r="EA25" s="36">
        <f t="shared" si="99"/>
        <v>0.12</v>
      </c>
      <c r="EB25" s="51">
        <f t="shared" si="170"/>
        <v>8823.0519399092118</v>
      </c>
      <c r="EC25" s="7">
        <f t="shared" si="100"/>
        <v>33146.947841239002</v>
      </c>
      <c r="ED25" s="7">
        <f t="shared" si="101"/>
        <v>134730.91299262232</v>
      </c>
      <c r="EE25" s="7">
        <f t="shared" si="102"/>
        <v>287249.73549487506</v>
      </c>
      <c r="EF25" s="7">
        <f t="shared" si="103"/>
        <v>548496.26190739882</v>
      </c>
      <c r="EG25" s="7">
        <f t="shared" si="104"/>
        <v>696443.0916039634</v>
      </c>
      <c r="EH25" s="7">
        <f t="shared" si="105"/>
        <v>3314.6947841239003</v>
      </c>
      <c r="EI25" s="7">
        <f t="shared" si="106"/>
        <v>15504.770602289898</v>
      </c>
      <c r="EJ25" s="7">
        <f t="shared" si="107"/>
        <v>49058.911552785503</v>
      </c>
      <c r="EK25" s="7">
        <f t="shared" si="108"/>
        <v>111758.07789179121</v>
      </c>
      <c r="EL25" s="7">
        <f t="shared" si="109"/>
        <v>159101.06339469188</v>
      </c>
      <c r="EM25" s="7">
        <f t="shared" si="110"/>
        <v>294322.0368661739</v>
      </c>
      <c r="EN25" s="7">
        <f t="shared" si="111"/>
        <v>368616.91995860613</v>
      </c>
      <c r="EO25" s="7">
        <f t="shared" si="112"/>
        <v>460056.7760723689</v>
      </c>
      <c r="EP25" s="7">
        <f t="shared" si="113"/>
        <v>551496.63218613167</v>
      </c>
      <c r="EQ25" s="7">
        <f t="shared" si="114"/>
        <v>1071560.8138331573</v>
      </c>
      <c r="ER25" s="7">
        <f t="shared" si="115"/>
        <v>5966.4506114230198</v>
      </c>
      <c r="ES25" s="10">
        <f t="shared" si="116"/>
        <v>1</v>
      </c>
      <c r="ET25" s="16">
        <f t="shared" si="117"/>
        <v>1</v>
      </c>
      <c r="EU25" s="16">
        <f t="shared" si="118"/>
        <v>24</v>
      </c>
      <c r="EV25" s="7">
        <f t="shared" si="119"/>
        <v>0</v>
      </c>
      <c r="EW25" s="37">
        <f t="shared" si="143"/>
        <v>2.3233569328602915E-2</v>
      </c>
      <c r="EX25" s="7">
        <f t="shared" si="120"/>
        <v>11988.54396151483</v>
      </c>
      <c r="EY25" s="7">
        <f t="shared" si="171"/>
        <v>8067.946411805191</v>
      </c>
      <c r="EZ25" s="37">
        <f t="shared" si="121"/>
        <v>0.16999999999999998</v>
      </c>
      <c r="FA25" s="37">
        <f t="shared" si="122"/>
        <v>9.2855792940458245E-2</v>
      </c>
      <c r="FB25" s="7">
        <f t="shared" si="123"/>
        <v>81749.354562783439</v>
      </c>
      <c r="FC25" s="7">
        <f t="shared" si="173"/>
        <v>55014.972120839659</v>
      </c>
      <c r="FD25" s="7">
        <f t="shared" si="144"/>
        <v>4583.9215026539623</v>
      </c>
      <c r="FE25" s="7">
        <f t="shared" si="124"/>
        <v>55000</v>
      </c>
      <c r="FF25" s="7">
        <f t="shared" si="145"/>
        <v>37416.824553379178</v>
      </c>
      <c r="FG25" s="7">
        <f t="shared" si="146"/>
        <v>0</v>
      </c>
      <c r="FH25" s="7">
        <f t="shared" si="147"/>
        <v>6729.7133310805775</v>
      </c>
      <c r="FI25" s="7">
        <f t="shared" si="125"/>
        <v>1606.2034273168647</v>
      </c>
      <c r="FJ25" s="7">
        <f t="shared" si="148"/>
        <v>18936.380648185088</v>
      </c>
      <c r="FK25" s="7">
        <f t="shared" si="149"/>
        <v>0</v>
      </c>
      <c r="FL25" s="7">
        <f t="shared" si="150"/>
        <v>0</v>
      </c>
      <c r="FM25" s="7">
        <f t="shared" si="151"/>
        <v>0</v>
      </c>
      <c r="FN25" s="7">
        <f t="shared" si="152"/>
        <v>0</v>
      </c>
      <c r="FO25" s="7">
        <f t="shared" si="153"/>
        <v>0</v>
      </c>
      <c r="FP25" s="7">
        <f t="shared" si="154"/>
        <v>5937.6610260823372</v>
      </c>
      <c r="FQ25" s="7">
        <f t="shared" si="155"/>
        <v>2130.2853857228538</v>
      </c>
      <c r="FR25" s="7">
        <f t="shared" si="156"/>
        <v>0</v>
      </c>
      <c r="FS25" s="7">
        <f t="shared" si="157"/>
        <v>31804.300870372303</v>
      </c>
      <c r="FT25" s="7">
        <f t="shared" si="158"/>
        <v>5219.4882674390483</v>
      </c>
      <c r="FU25" s="7">
        <f t="shared" si="159"/>
        <v>0</v>
      </c>
      <c r="FV25" s="7">
        <f t="shared" si="160"/>
        <v>37520.813713639647</v>
      </c>
      <c r="FW25" s="7">
        <f t="shared" si="161"/>
        <v>5219.4882674390483</v>
      </c>
      <c r="FX25" s="7">
        <f t="shared" si="162"/>
        <v>0</v>
      </c>
      <c r="FY25" s="7">
        <f t="shared" si="163"/>
        <v>6729.7133310805775</v>
      </c>
      <c r="FZ25" s="7">
        <f t="shared" si="164"/>
        <v>0</v>
      </c>
      <c r="GA25" s="7">
        <f t="shared" si="165"/>
        <v>0</v>
      </c>
      <c r="GB25" s="7">
        <f t="shared" si="166"/>
        <v>37520.813713639647</v>
      </c>
      <c r="GC25" s="7">
        <f t="shared" si="126"/>
        <v>1080.9288617241618</v>
      </c>
      <c r="GD25" s="7">
        <f t="shared" si="127"/>
        <v>1155704.4904204672</v>
      </c>
      <c r="GE25" s="7">
        <f t="shared" si="128"/>
        <v>1898369.9762714314</v>
      </c>
      <c r="GF25" s="7">
        <f t="shared" si="129"/>
        <v>106211.64041807529</v>
      </c>
      <c r="GG25" s="7">
        <f t="shared" si="130"/>
        <v>573548.22267777589</v>
      </c>
      <c r="GH25" s="7">
        <f t="shared" si="131"/>
        <v>0</v>
      </c>
      <c r="GI25" s="7">
        <f t="shared" si="132"/>
        <v>0</v>
      </c>
      <c r="GJ25" s="7">
        <v>1732409.0785672211</v>
      </c>
      <c r="GK25" s="7">
        <v>559621.23333333328</v>
      </c>
    </row>
    <row r="26" spans="1:193" x14ac:dyDescent="0.55000000000000004">
      <c r="A26" s="60">
        <f t="shared" si="0"/>
        <v>2046</v>
      </c>
      <c r="B26" s="60">
        <f t="shared" si="1"/>
        <v>83</v>
      </c>
      <c r="C26" s="60">
        <f t="shared" si="2"/>
        <v>83</v>
      </c>
      <c r="D26" s="7">
        <f t="shared" si="3"/>
        <v>5000</v>
      </c>
      <c r="E26" s="7">
        <f t="shared" si="4"/>
        <v>5000</v>
      </c>
      <c r="F26" s="7">
        <f t="shared" si="5"/>
        <v>0</v>
      </c>
      <c r="G26" s="7">
        <f t="shared" si="6"/>
        <v>0</v>
      </c>
      <c r="H26" s="7">
        <f t="shared" si="7"/>
        <v>41120.640454143286</v>
      </c>
      <c r="I26" s="7">
        <f t="shared" si="8"/>
        <v>15479.582350925162</v>
      </c>
      <c r="J26" s="7">
        <f t="shared" si="9"/>
        <v>56600.22280506845</v>
      </c>
      <c r="K26" s="7">
        <f t="shared" si="10"/>
        <v>10000</v>
      </c>
      <c r="L26" s="7">
        <f t="shared" si="11"/>
        <v>0</v>
      </c>
      <c r="M26" s="7">
        <f t="shared" si="12"/>
        <v>10000</v>
      </c>
      <c r="N26" s="7">
        <f t="shared" si="13"/>
        <v>66600.22280506845</v>
      </c>
      <c r="O26" s="7">
        <f t="shared" si="14"/>
        <v>29655.837712568442</v>
      </c>
      <c r="P26" s="7">
        <v>0</v>
      </c>
      <c r="Q26" s="29">
        <v>17793.502627541064</v>
      </c>
      <c r="R26" s="29">
        <v>11862.335085027378</v>
      </c>
      <c r="S26" s="7">
        <v>0</v>
      </c>
      <c r="T26" s="7">
        <f t="shared" si="15"/>
        <v>9406.4699582558496</v>
      </c>
      <c r="U26" s="7">
        <f t="shared" si="16"/>
        <v>0</v>
      </c>
      <c r="V26" s="7">
        <f t="shared" si="17"/>
        <v>29663.850915112787</v>
      </c>
      <c r="W26" s="7"/>
      <c r="X26" s="7"/>
      <c r="Y26" s="7">
        <f t="shared" si="18"/>
        <v>17798.310549067668</v>
      </c>
      <c r="Z26" s="7">
        <f t="shared" si="18"/>
        <v>11865.540366045119</v>
      </c>
      <c r="AA26" s="7">
        <f t="shared" si="19"/>
        <v>0</v>
      </c>
      <c r="AB26" s="7"/>
      <c r="AC26" s="7">
        <f t="shared" si="20"/>
        <v>268756.28452159569</v>
      </c>
      <c r="AD26" s="7">
        <f t="shared" si="21"/>
        <v>0</v>
      </c>
      <c r="AE26" s="7">
        <f t="shared" si="22"/>
        <v>1066140.8997675893</v>
      </c>
      <c r="AF26" s="9">
        <f t="shared" si="23"/>
        <v>639684.53986055346</v>
      </c>
      <c r="AG26" s="56">
        <f t="shared" si="24"/>
        <v>426456.35990703583</v>
      </c>
      <c r="AH26" s="165">
        <f t="shared" si="25"/>
        <v>0.84</v>
      </c>
      <c r="AI26" s="56">
        <f t="shared" si="133"/>
        <v>1334897.1842891849</v>
      </c>
      <c r="AJ26" s="56">
        <f t="shared" si="26"/>
        <v>177318.8971330066</v>
      </c>
      <c r="AK26" s="56">
        <f t="shared" si="27"/>
        <v>0</v>
      </c>
      <c r="AL26" s="56">
        <f t="shared" si="167"/>
        <v>590867.74566862721</v>
      </c>
      <c r="AM26" s="9">
        <f t="shared" si="168"/>
        <v>768186.6428016338</v>
      </c>
      <c r="AN26" s="9">
        <f t="shared" si="28"/>
        <v>59319.688627681229</v>
      </c>
      <c r="AO26" s="9">
        <f t="shared" si="29"/>
        <v>35591.813176608732</v>
      </c>
      <c r="AP26" s="9">
        <f t="shared" si="30"/>
        <v>23727.875451072498</v>
      </c>
      <c r="AQ26" s="9">
        <f t="shared" si="134"/>
        <v>117026.26998847131</v>
      </c>
      <c r="AR26" s="9">
        <f t="shared" si="31"/>
        <v>32000</v>
      </c>
      <c r="AS26" s="9">
        <f t="shared" si="32"/>
        <v>44000</v>
      </c>
      <c r="AT26" s="9">
        <f t="shared" si="33"/>
        <v>59319.688627681229</v>
      </c>
      <c r="AU26" s="9">
        <f t="shared" si="135"/>
        <v>48110.189384308178</v>
      </c>
      <c r="AV26" s="9">
        <f t="shared" si="136"/>
        <v>88726.158585937083</v>
      </c>
      <c r="AW26" s="7">
        <f t="shared" si="137"/>
        <v>135326.38139100553</v>
      </c>
      <c r="AX26" s="7">
        <f t="shared" si="138"/>
        <v>126836.34797024526</v>
      </c>
      <c r="AY26" s="7">
        <f t="shared" si="34"/>
        <v>9406.4699582558496</v>
      </c>
      <c r="AZ26" s="7">
        <f t="shared" si="139"/>
        <v>0</v>
      </c>
      <c r="BA26" s="7">
        <f t="shared" si="35"/>
        <v>0</v>
      </c>
      <c r="BB26" s="7">
        <f t="shared" si="36"/>
        <v>0</v>
      </c>
      <c r="BC26" s="7">
        <f t="shared" si="37"/>
        <v>0</v>
      </c>
      <c r="BD26" s="7">
        <f t="shared" si="38"/>
        <v>42470.384170238533</v>
      </c>
      <c r="BE26" s="7">
        <f t="shared" si="39"/>
        <v>29182.956696164449</v>
      </c>
      <c r="BF26" s="7">
        <f t="shared" si="140"/>
        <v>29182.956696164449</v>
      </c>
      <c r="BG26" s="7">
        <f t="shared" si="169"/>
        <v>84365.963800006721</v>
      </c>
      <c r="BH26" s="7">
        <f t="shared" si="172"/>
        <v>97653.391274080815</v>
      </c>
      <c r="BI26" s="7">
        <f t="shared" si="141"/>
        <v>84365.963800006721</v>
      </c>
      <c r="BJ26" s="7">
        <f t="shared" si="40"/>
        <v>9406.4699582558496</v>
      </c>
      <c r="BK26" s="7">
        <f t="shared" si="41"/>
        <v>0</v>
      </c>
      <c r="BL26" s="7">
        <f t="shared" si="42"/>
        <v>10000</v>
      </c>
      <c r="BM26" s="7">
        <f t="shared" si="43"/>
        <v>59319.688627681229</v>
      </c>
      <c r="BN26" s="7">
        <f t="shared" si="44"/>
        <v>0</v>
      </c>
      <c r="BO26" s="7">
        <f t="shared" si="45"/>
        <v>0</v>
      </c>
      <c r="BP26" s="7">
        <f t="shared" si="142"/>
        <v>10200</v>
      </c>
      <c r="BQ26" s="7">
        <f t="shared" si="46"/>
        <v>10200</v>
      </c>
      <c r="BR26" s="7">
        <f t="shared" si="47"/>
        <v>0</v>
      </c>
      <c r="BS26" s="7">
        <f t="shared" si="48"/>
        <v>0</v>
      </c>
      <c r="BT26" s="7">
        <f t="shared" si="49"/>
        <v>68526.158585937083</v>
      </c>
      <c r="BU26" s="157">
        <f t="shared" si="50"/>
        <v>0.1194834109426004</v>
      </c>
      <c r="BV26" s="51">
        <f t="shared" si="51"/>
        <v>0</v>
      </c>
      <c r="BW26" s="51">
        <f t="shared" si="52"/>
        <v>1000000</v>
      </c>
      <c r="BX26" s="51">
        <f t="shared" si="53"/>
        <v>10000000000</v>
      </c>
      <c r="BY26" s="51">
        <f t="shared" si="54"/>
        <v>10000000000</v>
      </c>
      <c r="BZ26" s="51">
        <f t="shared" si="55"/>
        <v>10000000000</v>
      </c>
      <c r="CA26" s="51">
        <f t="shared" si="56"/>
        <v>10000000000</v>
      </c>
      <c r="CB26" s="51">
        <f t="shared" si="57"/>
        <v>10000000000</v>
      </c>
      <c r="CC26" s="51">
        <f t="shared" si="58"/>
        <v>10000000000</v>
      </c>
      <c r="CD26" s="51">
        <f t="shared" si="59"/>
        <v>10000000000</v>
      </c>
      <c r="CE26" s="51">
        <f t="shared" si="60"/>
        <v>10000000000</v>
      </c>
      <c r="CF26" s="51">
        <f t="shared" si="61"/>
        <v>10000000000</v>
      </c>
      <c r="CG26" s="51">
        <f t="shared" si="62"/>
        <v>10000000000</v>
      </c>
      <c r="CH26" s="51">
        <f t="shared" si="63"/>
        <v>0</v>
      </c>
      <c r="CI26" s="51">
        <f t="shared" si="64"/>
        <v>1000000</v>
      </c>
      <c r="CJ26" s="51">
        <f t="shared" si="65"/>
        <v>10000000000</v>
      </c>
      <c r="CK26" s="51">
        <f t="shared" si="66"/>
        <v>10000000000</v>
      </c>
      <c r="CL26" s="51">
        <f t="shared" si="67"/>
        <v>10000000000</v>
      </c>
      <c r="CM26" s="51">
        <f t="shared" si="68"/>
        <v>10000000000</v>
      </c>
      <c r="CN26" s="51">
        <f t="shared" si="69"/>
        <v>10000000000</v>
      </c>
      <c r="CO26" s="51">
        <f t="shared" si="70"/>
        <v>10000000000</v>
      </c>
      <c r="CP26" s="51">
        <f t="shared" si="71"/>
        <v>10000000000</v>
      </c>
      <c r="CQ26" s="51">
        <f t="shared" si="72"/>
        <v>10000000000</v>
      </c>
      <c r="CR26" s="51">
        <f t="shared" si="73"/>
        <v>10000000000</v>
      </c>
      <c r="CS26" s="51">
        <f t="shared" si="74"/>
        <v>10000000000</v>
      </c>
      <c r="CT26" s="7">
        <f t="shared" si="75"/>
        <v>50000</v>
      </c>
      <c r="CU26" s="7">
        <f t="shared" si="76"/>
        <v>0</v>
      </c>
      <c r="CV26" s="7">
        <f t="shared" si="76"/>
        <v>0</v>
      </c>
      <c r="CW26" s="7">
        <f t="shared" si="76"/>
        <v>0</v>
      </c>
      <c r="CX26" s="7">
        <f t="shared" si="76"/>
        <v>0</v>
      </c>
      <c r="CY26" s="7">
        <f t="shared" si="76"/>
        <v>0</v>
      </c>
      <c r="CZ26" s="7">
        <f t="shared" si="76"/>
        <v>0</v>
      </c>
      <c r="DA26" s="7">
        <f t="shared" si="76"/>
        <v>0</v>
      </c>
      <c r="DB26" s="7">
        <f t="shared" si="76"/>
        <v>0</v>
      </c>
      <c r="DC26" s="7">
        <f t="shared" si="76"/>
        <v>0</v>
      </c>
      <c r="DD26" s="7">
        <f t="shared" si="76"/>
        <v>0</v>
      </c>
      <c r="DE26" s="37">
        <f t="shared" si="77"/>
        <v>0.05</v>
      </c>
      <c r="DF26" s="37">
        <f t="shared" si="78"/>
        <v>0.09</v>
      </c>
      <c r="DG26" s="7">
        <f t="shared" si="79"/>
        <v>0</v>
      </c>
      <c r="DH26" s="7">
        <f t="shared" si="80"/>
        <v>0</v>
      </c>
      <c r="DI26" s="7">
        <f t="shared" si="81"/>
        <v>0</v>
      </c>
      <c r="DJ26" s="7">
        <f t="shared" si="82"/>
        <v>0</v>
      </c>
      <c r="DK26" s="7">
        <f t="shared" si="83"/>
        <v>0</v>
      </c>
      <c r="DL26" s="7">
        <f t="shared" si="84"/>
        <v>0</v>
      </c>
      <c r="DM26" s="7">
        <f t="shared" si="85"/>
        <v>0</v>
      </c>
      <c r="DN26" s="7">
        <f t="shared" si="86"/>
        <v>0</v>
      </c>
      <c r="DO26" s="7">
        <f t="shared" si="87"/>
        <v>0</v>
      </c>
      <c r="DP26" s="7">
        <f t="shared" si="88"/>
        <v>0</v>
      </c>
      <c r="DQ26" s="7">
        <f t="shared" si="89"/>
        <v>3426.3079292968541</v>
      </c>
      <c r="DR26" s="37">
        <f t="shared" si="90"/>
        <v>0.05</v>
      </c>
      <c r="DS26" s="7">
        <f t="shared" si="91"/>
        <v>409.38695833206623</v>
      </c>
      <c r="DT26" s="7" t="b">
        <f t="shared" si="92"/>
        <v>0</v>
      </c>
      <c r="DU26" s="7" t="b">
        <f t="shared" si="93"/>
        <v>0</v>
      </c>
      <c r="DV26" s="7" t="b">
        <f t="shared" si="94"/>
        <v>0</v>
      </c>
      <c r="DW26" s="7" t="b">
        <f t="shared" si="95"/>
        <v>1</v>
      </c>
      <c r="DX26" s="7" t="b">
        <f t="shared" si="96"/>
        <v>0</v>
      </c>
      <c r="DY26" s="207">
        <f t="shared" si="97"/>
        <v>0.65977581677260566</v>
      </c>
      <c r="DZ26" s="7">
        <f t="shared" si="98"/>
        <v>9449.0437979531798</v>
      </c>
      <c r="EA26" s="36">
        <f t="shared" si="99"/>
        <v>0.12</v>
      </c>
      <c r="EB26" s="51">
        <f t="shared" si="170"/>
        <v>9449.0437979531798</v>
      </c>
      <c r="EC26" s="7">
        <f t="shared" si="100"/>
        <v>33743.592902381301</v>
      </c>
      <c r="ED26" s="7">
        <f t="shared" si="101"/>
        <v>137156.06942648953</v>
      </c>
      <c r="EE26" s="7">
        <f t="shared" si="102"/>
        <v>292420.23073378281</v>
      </c>
      <c r="EF26" s="7">
        <f t="shared" si="103"/>
        <v>558369.19462173199</v>
      </c>
      <c r="EG26" s="7">
        <f t="shared" si="104"/>
        <v>708979.06725283468</v>
      </c>
      <c r="EH26" s="7">
        <f t="shared" si="105"/>
        <v>3374.3592902381301</v>
      </c>
      <c r="EI26" s="7">
        <f t="shared" si="106"/>
        <v>15783.856473131118</v>
      </c>
      <c r="EJ26" s="7">
        <f t="shared" si="107"/>
        <v>49941.971960735646</v>
      </c>
      <c r="EK26" s="7">
        <f t="shared" si="108"/>
        <v>113769.72329384345</v>
      </c>
      <c r="EL26" s="7">
        <f t="shared" si="109"/>
        <v>161964.88253579632</v>
      </c>
      <c r="EM26" s="7">
        <f t="shared" si="110"/>
        <v>299619.83352976502</v>
      </c>
      <c r="EN26" s="7">
        <f t="shared" si="111"/>
        <v>375252.02451786102</v>
      </c>
      <c r="EO26" s="7">
        <f t="shared" si="112"/>
        <v>468337.79804167151</v>
      </c>
      <c r="EP26" s="7">
        <f t="shared" si="113"/>
        <v>561423.57156548195</v>
      </c>
      <c r="EQ26" s="7">
        <f t="shared" si="114"/>
        <v>1090848.9084821541</v>
      </c>
      <c r="ER26" s="7">
        <f t="shared" si="115"/>
        <v>6073.8467224286342</v>
      </c>
      <c r="ES26" s="10">
        <f t="shared" si="116"/>
        <v>1</v>
      </c>
      <c r="ET26" s="16">
        <f t="shared" si="117"/>
        <v>1</v>
      </c>
      <c r="EU26" s="16">
        <f t="shared" si="118"/>
        <v>24</v>
      </c>
      <c r="EV26" s="7">
        <f t="shared" si="119"/>
        <v>0</v>
      </c>
      <c r="EW26" s="37">
        <f t="shared" si="143"/>
        <v>2.3322493308305669E-2</v>
      </c>
      <c r="EX26" s="7">
        <f t="shared" si="120"/>
        <v>12875.351727250034</v>
      </c>
      <c r="EY26" s="7">
        <f t="shared" si="171"/>
        <v>8494.845702080971</v>
      </c>
      <c r="EZ26" s="37">
        <f t="shared" si="121"/>
        <v>0.16999999999999998</v>
      </c>
      <c r="FA26" s="37">
        <f t="shared" si="122"/>
        <v>9.5142954351588052E-2</v>
      </c>
      <c r="FB26" s="7">
        <f t="shared" si="123"/>
        <v>83380.708790386852</v>
      </c>
      <c r="FC26" s="7">
        <f t="shared" si="173"/>
        <v>55012.575245256266</v>
      </c>
      <c r="FD26" s="7">
        <f t="shared" si="144"/>
        <v>4771.1696766971145</v>
      </c>
      <c r="FE26" s="7">
        <f t="shared" si="124"/>
        <v>55000</v>
      </c>
      <c r="FF26" s="7">
        <f t="shared" si="145"/>
        <v>37343.458230725497</v>
      </c>
      <c r="FG26" s="7">
        <f t="shared" si="146"/>
        <v>0</v>
      </c>
      <c r="FH26" s="7">
        <f t="shared" si="147"/>
        <v>6597.7581677260569</v>
      </c>
      <c r="FI26" s="7">
        <f t="shared" si="125"/>
        <v>1875.5291609057163</v>
      </c>
      <c r="FJ26" s="7">
        <f t="shared" si="148"/>
        <v>19566.204548885686</v>
      </c>
      <c r="FK26" s="7">
        <f t="shared" si="149"/>
        <v>0</v>
      </c>
      <c r="FL26" s="7">
        <f t="shared" si="150"/>
        <v>0</v>
      </c>
      <c r="FM26" s="7">
        <f t="shared" si="151"/>
        <v>0</v>
      </c>
      <c r="FN26" s="7">
        <f t="shared" si="152"/>
        <v>0</v>
      </c>
      <c r="FO26" s="7">
        <f t="shared" si="153"/>
        <v>0</v>
      </c>
      <c r="FP26" s="7">
        <f t="shared" si="154"/>
        <v>6234.2505895146833</v>
      </c>
      <c r="FQ26" s="7">
        <f t="shared" si="155"/>
        <v>2260.5951125662873</v>
      </c>
      <c r="FR26" s="7">
        <f t="shared" si="156"/>
        <v>0</v>
      </c>
      <c r="FS26" s="7">
        <f t="shared" si="157"/>
        <v>31741.939496116669</v>
      </c>
      <c r="FT26" s="7">
        <f t="shared" si="158"/>
        <v>6206.1613996552314</v>
      </c>
      <c r="FU26" s="7">
        <f t="shared" si="159"/>
        <v>0</v>
      </c>
      <c r="FV26" s="7">
        <f t="shared" si="160"/>
        <v>39137.696015025031</v>
      </c>
      <c r="FW26" s="7">
        <f t="shared" si="161"/>
        <v>6206.1613996552314</v>
      </c>
      <c r="FX26" s="7">
        <f t="shared" si="162"/>
        <v>0</v>
      </c>
      <c r="FY26" s="7">
        <f t="shared" si="163"/>
        <v>6597.7581677260569</v>
      </c>
      <c r="FZ26" s="7">
        <f t="shared" si="164"/>
        <v>0</v>
      </c>
      <c r="GA26" s="7">
        <f t="shared" si="165"/>
        <v>0</v>
      </c>
      <c r="GB26" s="7">
        <f t="shared" si="166"/>
        <v>39137.696015025031</v>
      </c>
      <c r="GC26" s="7">
        <f t="shared" si="126"/>
        <v>1237.4287840174086</v>
      </c>
      <c r="GD26" s="7">
        <f t="shared" si="127"/>
        <v>1210717.0656657235</v>
      </c>
      <c r="GE26" s="7">
        <f t="shared" si="128"/>
        <v>1978903.7084673573</v>
      </c>
      <c r="GF26" s="7">
        <f t="shared" si="129"/>
        <v>114706.48612015626</v>
      </c>
      <c r="GG26" s="7">
        <f t="shared" si="130"/>
        <v>610891.68090850138</v>
      </c>
      <c r="GH26" s="7">
        <f t="shared" si="131"/>
        <v>0</v>
      </c>
      <c r="GI26" s="7">
        <f t="shared" si="132"/>
        <v>0</v>
      </c>
      <c r="GJ26" s="7">
        <v>1784404.1229579472</v>
      </c>
      <c r="GK26" s="7">
        <v>586376.03333333333</v>
      </c>
    </row>
    <row r="27" spans="1:193" x14ac:dyDescent="0.55000000000000004">
      <c r="A27" s="60">
        <f t="shared" si="0"/>
        <v>2047</v>
      </c>
      <c r="B27" s="60">
        <f t="shared" si="1"/>
        <v>84</v>
      </c>
      <c r="C27" s="60">
        <f t="shared" si="2"/>
        <v>84</v>
      </c>
      <c r="D27" s="7">
        <f t="shared" si="3"/>
        <v>5000</v>
      </c>
      <c r="E27" s="7">
        <f t="shared" si="4"/>
        <v>5000</v>
      </c>
      <c r="F27" s="7">
        <f t="shared" si="5"/>
        <v>0</v>
      </c>
      <c r="G27" s="7">
        <f t="shared" si="6"/>
        <v>0</v>
      </c>
      <c r="H27" s="7">
        <f t="shared" si="7"/>
        <v>41860.811982317857</v>
      </c>
      <c r="I27" s="7">
        <f t="shared" si="8"/>
        <v>15758.214833241813</v>
      </c>
      <c r="J27" s="7">
        <f t="shared" si="9"/>
        <v>57619.026815559671</v>
      </c>
      <c r="K27" s="7">
        <f t="shared" si="10"/>
        <v>10000</v>
      </c>
      <c r="L27" s="7">
        <f t="shared" si="11"/>
        <v>0</v>
      </c>
      <c r="M27" s="7">
        <f t="shared" si="12"/>
        <v>10000</v>
      </c>
      <c r="N27" s="7">
        <f t="shared" si="13"/>
        <v>67619.026815559671</v>
      </c>
      <c r="O27" s="7">
        <f t="shared" si="14"/>
        <v>31321.702778629136</v>
      </c>
      <c r="P27" s="7">
        <v>0</v>
      </c>
      <c r="Q27" s="29">
        <v>18793.02166717748</v>
      </c>
      <c r="R27" s="29">
        <v>12528.681111451657</v>
      </c>
      <c r="S27" s="7">
        <v>0</v>
      </c>
      <c r="T27" s="7">
        <f t="shared" si="15"/>
        <v>11269.036101689333</v>
      </c>
      <c r="U27" s="7">
        <f t="shared" si="16"/>
        <v>0</v>
      </c>
      <c r="V27" s="7">
        <f t="shared" si="17"/>
        <v>32139.065064679751</v>
      </c>
      <c r="W27" s="7"/>
      <c r="X27" s="7"/>
      <c r="Y27" s="7">
        <f t="shared" si="18"/>
        <v>19283.439038807843</v>
      </c>
      <c r="Z27" s="7">
        <f t="shared" si="18"/>
        <v>12855.626025871905</v>
      </c>
      <c r="AA27" s="7">
        <f t="shared" si="19"/>
        <v>0</v>
      </c>
      <c r="AB27" s="7"/>
      <c r="AC27" s="7">
        <f t="shared" si="20"/>
        <v>321972.46004826663</v>
      </c>
      <c r="AD27" s="7">
        <f t="shared" si="21"/>
        <v>0</v>
      </c>
      <c r="AE27" s="7">
        <f t="shared" si="22"/>
        <v>1079226.5100968797</v>
      </c>
      <c r="AF27" s="9">
        <f t="shared" si="23"/>
        <v>647535.90605812764</v>
      </c>
      <c r="AG27" s="56">
        <f t="shared" si="24"/>
        <v>431690.60403875198</v>
      </c>
      <c r="AH27" s="165">
        <f t="shared" si="25"/>
        <v>0.84</v>
      </c>
      <c r="AI27" s="56">
        <f t="shared" si="133"/>
        <v>1401198.9701451464</v>
      </c>
      <c r="AJ27" s="56">
        <f t="shared" si="26"/>
        <v>208264.35569277476</v>
      </c>
      <c r="AK27" s="56">
        <f t="shared" si="27"/>
        <v>0</v>
      </c>
      <c r="AL27" s="56">
        <f t="shared" si="167"/>
        <v>586392.10179679084</v>
      </c>
      <c r="AM27" s="9">
        <f t="shared" si="168"/>
        <v>794656.4574895656</v>
      </c>
      <c r="AN27" s="9">
        <f t="shared" si="28"/>
        <v>63460.767843308888</v>
      </c>
      <c r="AO27" s="9">
        <f t="shared" si="29"/>
        <v>38076.460705985322</v>
      </c>
      <c r="AP27" s="9">
        <f t="shared" si="30"/>
        <v>25384.307137323562</v>
      </c>
      <c r="AQ27" s="9">
        <f t="shared" si="134"/>
        <v>123539.31735277805</v>
      </c>
      <c r="AR27" s="9">
        <f t="shared" si="31"/>
        <v>32000</v>
      </c>
      <c r="AS27" s="9">
        <f t="shared" si="32"/>
        <v>44000</v>
      </c>
      <c r="AT27" s="9">
        <f t="shared" si="33"/>
        <v>63460.767843308888</v>
      </c>
      <c r="AU27" s="9">
        <f t="shared" si="135"/>
        <v>48976.17279322572</v>
      </c>
      <c r="AV27" s="9">
        <f t="shared" si="136"/>
        <v>94729.803944998217</v>
      </c>
      <c r="AW27" s="7">
        <f t="shared" si="137"/>
        <v>142348.83076055787</v>
      </c>
      <c r="AX27" s="7">
        <f t="shared" si="138"/>
        <v>133705.97673822392</v>
      </c>
      <c r="AY27" s="7">
        <f t="shared" si="34"/>
        <v>11269.036101689333</v>
      </c>
      <c r="AZ27" s="7">
        <f t="shared" si="139"/>
        <v>0</v>
      </c>
      <c r="BA27" s="7">
        <f t="shared" si="35"/>
        <v>0</v>
      </c>
      <c r="BB27" s="7">
        <f t="shared" si="36"/>
        <v>0</v>
      </c>
      <c r="BC27" s="7">
        <f t="shared" si="37"/>
        <v>0</v>
      </c>
      <c r="BD27" s="7">
        <f t="shared" si="38"/>
        <v>43234.85108530282</v>
      </c>
      <c r="BE27" s="7">
        <f t="shared" si="39"/>
        <v>29946.758641921118</v>
      </c>
      <c r="BF27" s="7">
        <f t="shared" si="140"/>
        <v>29946.758641921118</v>
      </c>
      <c r="BG27" s="7">
        <f t="shared" si="169"/>
        <v>90471.125652921095</v>
      </c>
      <c r="BH27" s="7">
        <f t="shared" si="172"/>
        <v>103759.21809630281</v>
      </c>
      <c r="BI27" s="7">
        <f t="shared" si="141"/>
        <v>90471.125652921095</v>
      </c>
      <c r="BJ27" s="7">
        <f t="shared" si="40"/>
        <v>11269.036101689333</v>
      </c>
      <c r="BK27" s="7">
        <f t="shared" si="41"/>
        <v>0</v>
      </c>
      <c r="BL27" s="7">
        <f t="shared" si="42"/>
        <v>10000</v>
      </c>
      <c r="BM27" s="7">
        <f t="shared" si="43"/>
        <v>63460.767843308888</v>
      </c>
      <c r="BN27" s="7">
        <f t="shared" si="44"/>
        <v>0</v>
      </c>
      <c r="BO27" s="7">
        <f t="shared" si="45"/>
        <v>0</v>
      </c>
      <c r="BP27" s="7">
        <f t="shared" si="142"/>
        <v>10200</v>
      </c>
      <c r="BQ27" s="7">
        <f t="shared" si="46"/>
        <v>10200</v>
      </c>
      <c r="BR27" s="7">
        <f t="shared" si="47"/>
        <v>0</v>
      </c>
      <c r="BS27" s="7">
        <f t="shared" si="48"/>
        <v>0</v>
      </c>
      <c r="BT27" s="7">
        <f t="shared" si="49"/>
        <v>74529.803944998217</v>
      </c>
      <c r="BU27" s="157">
        <f t="shared" si="50"/>
        <v>0.13299967162681683</v>
      </c>
      <c r="BV27" s="51">
        <f t="shared" si="51"/>
        <v>0</v>
      </c>
      <c r="BW27" s="51">
        <f t="shared" si="52"/>
        <v>1000000</v>
      </c>
      <c r="BX27" s="51">
        <f t="shared" si="53"/>
        <v>10000000000</v>
      </c>
      <c r="BY27" s="51">
        <f t="shared" si="54"/>
        <v>10000000000</v>
      </c>
      <c r="BZ27" s="51">
        <f t="shared" si="55"/>
        <v>10000000000</v>
      </c>
      <c r="CA27" s="51">
        <f t="shared" si="56"/>
        <v>10000000000</v>
      </c>
      <c r="CB27" s="51">
        <f t="shared" si="57"/>
        <v>10000000000</v>
      </c>
      <c r="CC27" s="51">
        <f t="shared" si="58"/>
        <v>10000000000</v>
      </c>
      <c r="CD27" s="51">
        <f t="shared" si="59"/>
        <v>10000000000</v>
      </c>
      <c r="CE27" s="51">
        <f t="shared" si="60"/>
        <v>10000000000</v>
      </c>
      <c r="CF27" s="51">
        <f t="shared" si="61"/>
        <v>10000000000</v>
      </c>
      <c r="CG27" s="51">
        <f t="shared" si="62"/>
        <v>10000000000</v>
      </c>
      <c r="CH27" s="51">
        <f t="shared" si="63"/>
        <v>0</v>
      </c>
      <c r="CI27" s="51">
        <f t="shared" si="64"/>
        <v>1000000</v>
      </c>
      <c r="CJ27" s="51">
        <f t="shared" si="65"/>
        <v>10000000000</v>
      </c>
      <c r="CK27" s="51">
        <f t="shared" si="66"/>
        <v>10000000000</v>
      </c>
      <c r="CL27" s="51">
        <f t="shared" si="67"/>
        <v>10000000000</v>
      </c>
      <c r="CM27" s="51">
        <f t="shared" si="68"/>
        <v>10000000000</v>
      </c>
      <c r="CN27" s="51">
        <f t="shared" si="69"/>
        <v>10000000000</v>
      </c>
      <c r="CO27" s="51">
        <f t="shared" si="70"/>
        <v>10000000000</v>
      </c>
      <c r="CP27" s="51">
        <f t="shared" si="71"/>
        <v>10000000000</v>
      </c>
      <c r="CQ27" s="51">
        <f t="shared" si="72"/>
        <v>10000000000</v>
      </c>
      <c r="CR27" s="51">
        <f t="shared" si="73"/>
        <v>10000000000</v>
      </c>
      <c r="CS27" s="51">
        <f t="shared" si="74"/>
        <v>10000000000</v>
      </c>
      <c r="CT27" s="7">
        <f t="shared" si="75"/>
        <v>50000</v>
      </c>
      <c r="CU27" s="7">
        <f t="shared" si="76"/>
        <v>0</v>
      </c>
      <c r="CV27" s="7">
        <f t="shared" si="76"/>
        <v>0</v>
      </c>
      <c r="CW27" s="7">
        <f t="shared" si="76"/>
        <v>0</v>
      </c>
      <c r="CX27" s="7">
        <f t="shared" si="76"/>
        <v>0</v>
      </c>
      <c r="CY27" s="7">
        <f t="shared" si="76"/>
        <v>0</v>
      </c>
      <c r="CZ27" s="7">
        <f t="shared" si="76"/>
        <v>0</v>
      </c>
      <c r="DA27" s="7">
        <f t="shared" si="76"/>
        <v>0</v>
      </c>
      <c r="DB27" s="7">
        <f t="shared" si="76"/>
        <v>0</v>
      </c>
      <c r="DC27" s="7">
        <f t="shared" si="76"/>
        <v>0</v>
      </c>
      <c r="DD27" s="7">
        <f t="shared" si="76"/>
        <v>0</v>
      </c>
      <c r="DE27" s="37">
        <f t="shared" si="77"/>
        <v>0.05</v>
      </c>
      <c r="DF27" s="37">
        <f t="shared" si="78"/>
        <v>0.09</v>
      </c>
      <c r="DG27" s="7">
        <f t="shared" si="79"/>
        <v>0</v>
      </c>
      <c r="DH27" s="7">
        <f t="shared" si="80"/>
        <v>0</v>
      </c>
      <c r="DI27" s="7">
        <f t="shared" si="81"/>
        <v>0</v>
      </c>
      <c r="DJ27" s="7">
        <f t="shared" si="82"/>
        <v>0</v>
      </c>
      <c r="DK27" s="7">
        <f t="shared" si="83"/>
        <v>0</v>
      </c>
      <c r="DL27" s="7">
        <f t="shared" si="84"/>
        <v>0</v>
      </c>
      <c r="DM27" s="7">
        <f t="shared" si="85"/>
        <v>0</v>
      </c>
      <c r="DN27" s="7">
        <f t="shared" si="86"/>
        <v>0</v>
      </c>
      <c r="DO27" s="7">
        <f t="shared" si="87"/>
        <v>0</v>
      </c>
      <c r="DP27" s="7">
        <f t="shared" si="88"/>
        <v>0</v>
      </c>
      <c r="DQ27" s="7">
        <f t="shared" si="89"/>
        <v>3726.490197249911</v>
      </c>
      <c r="DR27" s="37">
        <f t="shared" si="90"/>
        <v>0.05</v>
      </c>
      <c r="DS27" s="7">
        <f t="shared" si="91"/>
        <v>495.62197255479003</v>
      </c>
      <c r="DT27" s="7" t="b">
        <f t="shared" si="92"/>
        <v>0</v>
      </c>
      <c r="DU27" s="7" t="b">
        <f t="shared" si="93"/>
        <v>0</v>
      </c>
      <c r="DV27" s="7" t="b">
        <f t="shared" si="94"/>
        <v>0</v>
      </c>
      <c r="DW27" s="7" t="b">
        <f t="shared" si="95"/>
        <v>1</v>
      </c>
      <c r="DX27" s="7" t="b">
        <f t="shared" si="96"/>
        <v>0</v>
      </c>
      <c r="DY27" s="207">
        <f t="shared" si="97"/>
        <v>0.64683903605157411</v>
      </c>
      <c r="DZ27" s="7">
        <f t="shared" si="98"/>
        <v>10169.515526858049</v>
      </c>
      <c r="EA27" s="36">
        <f t="shared" si="99"/>
        <v>0.12</v>
      </c>
      <c r="EB27" s="51">
        <f t="shared" si="170"/>
        <v>10169.515526858049</v>
      </c>
      <c r="EC27" s="7">
        <f t="shared" si="100"/>
        <v>34350.977574624158</v>
      </c>
      <c r="ED27" s="7">
        <f t="shared" si="101"/>
        <v>139624.87867616632</v>
      </c>
      <c r="EE27" s="7">
        <f t="shared" si="102"/>
        <v>297683.79488699086</v>
      </c>
      <c r="EF27" s="7">
        <f t="shared" si="103"/>
        <v>568419.84012492304</v>
      </c>
      <c r="EG27" s="7">
        <f t="shared" si="104"/>
        <v>721740.69046338566</v>
      </c>
      <c r="EH27" s="7">
        <f t="shared" si="105"/>
        <v>3435.0977574624158</v>
      </c>
      <c r="EI27" s="7">
        <f t="shared" si="106"/>
        <v>16067.965889647476</v>
      </c>
      <c r="EJ27" s="7">
        <f t="shared" si="107"/>
        <v>50840.927456028876</v>
      </c>
      <c r="EK27" s="7">
        <f t="shared" si="108"/>
        <v>115817.5783131326</v>
      </c>
      <c r="EL27" s="7">
        <f t="shared" si="109"/>
        <v>164880.25042144064</v>
      </c>
      <c r="EM27" s="7">
        <f t="shared" si="110"/>
        <v>305012.99053330073</v>
      </c>
      <c r="EN27" s="7">
        <f t="shared" si="111"/>
        <v>382006.56095918251</v>
      </c>
      <c r="EO27" s="7">
        <f t="shared" si="112"/>
        <v>476767.87840642157</v>
      </c>
      <c r="EP27" s="7">
        <f t="shared" si="113"/>
        <v>571529.19585366058</v>
      </c>
      <c r="EQ27" s="7">
        <f t="shared" si="114"/>
        <v>1110484.1888348327</v>
      </c>
      <c r="ER27" s="7">
        <f t="shared" si="115"/>
        <v>6183.1759634323489</v>
      </c>
      <c r="ES27" s="10">
        <f t="shared" si="116"/>
        <v>1</v>
      </c>
      <c r="ET27" s="16">
        <f t="shared" si="117"/>
        <v>1</v>
      </c>
      <c r="EU27" s="16">
        <f t="shared" si="118"/>
        <v>24</v>
      </c>
      <c r="EV27" s="7">
        <f t="shared" si="119"/>
        <v>0</v>
      </c>
      <c r="EW27" s="37">
        <f t="shared" si="143"/>
        <v>2.3463756720190798E-2</v>
      </c>
      <c r="EX27" s="7">
        <f t="shared" si="120"/>
        <v>13896.005724107959</v>
      </c>
      <c r="EY27" s="7">
        <f t="shared" si="171"/>
        <v>8988.4789475491489</v>
      </c>
      <c r="EZ27" s="37">
        <f t="shared" si="121"/>
        <v>0.16999999999999998</v>
      </c>
      <c r="FA27" s="37">
        <f t="shared" si="122"/>
        <v>9.7619387878795816E-2</v>
      </c>
      <c r="FB27" s="7">
        <f t="shared" si="123"/>
        <v>85044.723870080838</v>
      </c>
      <c r="FC27" s="7">
        <f t="shared" si="173"/>
        <v>55010.247209395384</v>
      </c>
      <c r="FD27" s="7">
        <f t="shared" si="144"/>
        <v>4981.3102710858275</v>
      </c>
      <c r="FE27" s="7">
        <f t="shared" si="124"/>
        <v>55000</v>
      </c>
      <c r="FF27" s="7">
        <f t="shared" si="145"/>
        <v>37270.235763606419</v>
      </c>
      <c r="FG27" s="7">
        <f t="shared" si="146"/>
        <v>0</v>
      </c>
      <c r="FH27" s="7">
        <f>M27 * DY27</f>
        <v>6468.3903605157411</v>
      </c>
      <c r="FI27" s="7">
        <f t="shared" si="125"/>
        <v>2161.6656982039121</v>
      </c>
      <c r="FJ27" s="7">
        <f t="shared" si="148"/>
        <v>20260.100032822382</v>
      </c>
      <c r="FK27" s="7">
        <f t="shared" si="149"/>
        <v>0</v>
      </c>
      <c r="FL27" s="7">
        <f t="shared" si="150"/>
        <v>0</v>
      </c>
      <c r="FM27" s="7">
        <f t="shared" si="151"/>
        <v>0</v>
      </c>
      <c r="FN27" s="7">
        <f t="shared" si="152"/>
        <v>0</v>
      </c>
      <c r="FO27" s="7">
        <f t="shared" si="153"/>
        <v>0</v>
      </c>
      <c r="FP27" s="7">
        <f t="shared" si="154"/>
        <v>6578.0396205043762</v>
      </c>
      <c r="FQ27" s="7">
        <f t="shared" si="155"/>
        <v>2410.4393270447727</v>
      </c>
      <c r="FR27" s="7">
        <f t="shared" si="156"/>
        <v>0</v>
      </c>
      <c r="FS27" s="7">
        <f t="shared" si="157"/>
        <v>31679.700399065456</v>
      </c>
      <c r="FT27" s="7">
        <f t="shared" si="158"/>
        <v>7289.2524492471166</v>
      </c>
      <c r="FU27" s="7">
        <f t="shared" si="159"/>
        <v>0</v>
      </c>
      <c r="FV27" s="7">
        <f t="shared" si="160"/>
        <v>41048.901898858654</v>
      </c>
      <c r="FW27" s="7">
        <f t="shared" si="161"/>
        <v>7289.2524492471166</v>
      </c>
      <c r="FX27" s="7">
        <f t="shared" si="162"/>
        <v>0</v>
      </c>
      <c r="FY27" s="7">
        <f t="shared" si="163"/>
        <v>6468.3903605157411</v>
      </c>
      <c r="FZ27" s="7">
        <f t="shared" si="164"/>
        <v>0</v>
      </c>
      <c r="GA27" s="7">
        <f t="shared" si="165"/>
        <v>0</v>
      </c>
      <c r="GB27" s="7">
        <f t="shared" si="166"/>
        <v>41048.901898858654</v>
      </c>
      <c r="GC27" s="7">
        <f t="shared" si="126"/>
        <v>1398.2497564919715</v>
      </c>
      <c r="GD27" s="7">
        <f t="shared" si="127"/>
        <v>1265727.3128751188</v>
      </c>
      <c r="GE27" s="7">
        <f t="shared" si="128"/>
        <v>2060383.7703646845</v>
      </c>
      <c r="GF27" s="7">
        <f t="shared" si="129"/>
        <v>123694.9650677054</v>
      </c>
      <c r="GG27" s="7">
        <f t="shared" si="130"/>
        <v>648161.91667210776</v>
      </c>
      <c r="GH27" s="7">
        <f t="shared" si="131"/>
        <v>0</v>
      </c>
      <c r="GI27" s="7">
        <f t="shared" si="132"/>
        <v>0</v>
      </c>
      <c r="GJ27" s="7">
        <v>1836073.9009844686</v>
      </c>
      <c r="GK27" s="7">
        <v>613130.83333333337</v>
      </c>
    </row>
    <row r="28" spans="1:193" x14ac:dyDescent="0.55000000000000004">
      <c r="A28" s="60">
        <f t="shared" si="0"/>
        <v>2048</v>
      </c>
      <c r="B28" s="60">
        <f t="shared" si="1"/>
        <v>85</v>
      </c>
      <c r="C28" s="60">
        <f t="shared" si="2"/>
        <v>85</v>
      </c>
      <c r="D28" s="7">
        <f t="shared" si="3"/>
        <v>0</v>
      </c>
      <c r="E28" s="7">
        <f t="shared" si="4"/>
        <v>5000</v>
      </c>
      <c r="F28" s="7">
        <f t="shared" si="5"/>
        <v>0</v>
      </c>
      <c r="G28" s="7">
        <f t="shared" si="6"/>
        <v>0</v>
      </c>
      <c r="H28" s="7">
        <f t="shared" si="7"/>
        <v>42614.306597999588</v>
      </c>
      <c r="I28" s="7">
        <f t="shared" si="8"/>
        <v>16041.86270024017</v>
      </c>
      <c r="J28" s="7">
        <f t="shared" si="9"/>
        <v>58656.169298239758</v>
      </c>
      <c r="K28" s="7">
        <f t="shared" si="10"/>
        <v>5000</v>
      </c>
      <c r="L28" s="7">
        <f t="shared" si="11"/>
        <v>0</v>
      </c>
      <c r="M28" s="7">
        <f t="shared" si="12"/>
        <v>5000</v>
      </c>
      <c r="N28" s="7">
        <f t="shared" si="13"/>
        <v>63656.169298239758</v>
      </c>
      <c r="O28" s="7">
        <f t="shared" si="14"/>
        <v>37139.85199652084</v>
      </c>
      <c r="P28" s="7">
        <v>0</v>
      </c>
      <c r="Q28" s="29">
        <v>22283.911197912501</v>
      </c>
      <c r="R28" s="29">
        <v>14855.940798608339</v>
      </c>
      <c r="S28" s="7">
        <v>0</v>
      </c>
      <c r="T28" s="7">
        <f t="shared" si="15"/>
        <v>13203.111731498509</v>
      </c>
      <c r="U28" s="7">
        <f t="shared" si="16"/>
        <v>0</v>
      </c>
      <c r="V28" s="7">
        <f t="shared" si="17"/>
        <v>30311.80488453414</v>
      </c>
      <c r="W28" s="7"/>
      <c r="X28" s="7"/>
      <c r="Y28" s="7">
        <f t="shared" si="18"/>
        <v>18187.082930720477</v>
      </c>
      <c r="Z28" s="7">
        <f t="shared" si="18"/>
        <v>12124.72195381366</v>
      </c>
      <c r="AA28" s="7">
        <f t="shared" si="19"/>
        <v>0</v>
      </c>
      <c r="AB28" s="7"/>
      <c r="AC28" s="7">
        <f t="shared" si="20"/>
        <v>377231.76375710021</v>
      </c>
      <c r="AD28" s="7">
        <f t="shared" si="21"/>
        <v>0</v>
      </c>
      <c r="AE28" s="7">
        <f t="shared" si="22"/>
        <v>1089141.9036583947</v>
      </c>
      <c r="AF28" s="9">
        <f t="shared" si="23"/>
        <v>653485.14219503663</v>
      </c>
      <c r="AG28" s="56">
        <f t="shared" si="24"/>
        <v>435656.76146335801</v>
      </c>
      <c r="AH28" s="165">
        <f t="shared" si="25"/>
        <v>0.84</v>
      </c>
      <c r="AI28" s="56">
        <f t="shared" si="133"/>
        <v>1466373.667415495</v>
      </c>
      <c r="AJ28" s="56">
        <f t="shared" si="26"/>
        <v>239223.75533007635</v>
      </c>
      <c r="AK28" s="56">
        <f t="shared" si="27"/>
        <v>0</v>
      </c>
      <c r="AL28" s="56">
        <f t="shared" si="167"/>
        <v>580176.05807063624</v>
      </c>
      <c r="AM28" s="9">
        <f t="shared" si="168"/>
        <v>819399.81340071256</v>
      </c>
      <c r="AN28" s="9">
        <f t="shared" si="28"/>
        <v>67451.65688105498</v>
      </c>
      <c r="AO28" s="9">
        <f t="shared" si="29"/>
        <v>40470.994128632978</v>
      </c>
      <c r="AP28" s="9">
        <f t="shared" si="30"/>
        <v>26980.662752421998</v>
      </c>
      <c r="AQ28" s="9">
        <f t="shared" si="134"/>
        <v>119982.85326167336</v>
      </c>
      <c r="AR28" s="9">
        <f t="shared" si="31"/>
        <v>32000</v>
      </c>
      <c r="AS28" s="9">
        <f t="shared" si="32"/>
        <v>44000</v>
      </c>
      <c r="AT28" s="9">
        <f t="shared" si="33"/>
        <v>67451.65688105498</v>
      </c>
      <c r="AU28" s="9">
        <f t="shared" si="135"/>
        <v>49857.74390350379</v>
      </c>
      <c r="AV28" s="9">
        <f t="shared" si="136"/>
        <v>90654.768612553482</v>
      </c>
      <c r="AW28" s="7">
        <f t="shared" si="137"/>
        <v>144310.93791079323</v>
      </c>
      <c r="AX28" s="7">
        <f t="shared" si="138"/>
        <v>135512.51251605729</v>
      </c>
      <c r="AY28" s="7">
        <f t="shared" si="34"/>
        <v>13203.111731498509</v>
      </c>
      <c r="AZ28" s="7">
        <f t="shared" si="139"/>
        <v>0</v>
      </c>
      <c r="BA28" s="7">
        <f t="shared" si="35"/>
        <v>0</v>
      </c>
      <c r="BB28" s="7">
        <f t="shared" si="36"/>
        <v>0</v>
      </c>
      <c r="BC28" s="7">
        <f t="shared" si="37"/>
        <v>0</v>
      </c>
      <c r="BD28" s="7">
        <f t="shared" si="38"/>
        <v>44013.078404838285</v>
      </c>
      <c r="BE28" s="7">
        <f t="shared" si="39"/>
        <v>30464.971707302968</v>
      </c>
      <c r="BF28" s="7">
        <f t="shared" si="140"/>
        <v>30464.971707302968</v>
      </c>
      <c r="BG28" s="7">
        <f t="shared" si="169"/>
        <v>91499.434111219016</v>
      </c>
      <c r="BH28" s="7">
        <f t="shared" si="172"/>
        <v>105047.54080875433</v>
      </c>
      <c r="BI28" s="7">
        <f t="shared" si="141"/>
        <v>91499.434111219016</v>
      </c>
      <c r="BJ28" s="7">
        <f t="shared" si="40"/>
        <v>13203.111731498509</v>
      </c>
      <c r="BK28" s="7">
        <f t="shared" si="41"/>
        <v>0</v>
      </c>
      <c r="BL28" s="7">
        <f t="shared" si="42"/>
        <v>5000</v>
      </c>
      <c r="BM28" s="7">
        <f t="shared" si="43"/>
        <v>67451.65688105498</v>
      </c>
      <c r="BN28" s="7">
        <f t="shared" si="44"/>
        <v>0</v>
      </c>
      <c r="BO28" s="7">
        <f t="shared" si="45"/>
        <v>0</v>
      </c>
      <c r="BP28" s="7">
        <f t="shared" si="142"/>
        <v>10200</v>
      </c>
      <c r="BQ28" s="7">
        <f t="shared" si="46"/>
        <v>10200</v>
      </c>
      <c r="BR28" s="7">
        <f t="shared" si="47"/>
        <v>0</v>
      </c>
      <c r="BS28" s="7">
        <f t="shared" si="48"/>
        <v>0</v>
      </c>
      <c r="BT28" s="7">
        <f t="shared" si="49"/>
        <v>75454.768612553482</v>
      </c>
      <c r="BU28" s="157">
        <f t="shared" si="50"/>
        <v>0.15414333545422099</v>
      </c>
      <c r="BV28" s="51">
        <f t="shared" si="51"/>
        <v>0</v>
      </c>
      <c r="BW28" s="51">
        <f t="shared" si="52"/>
        <v>1000000</v>
      </c>
      <c r="BX28" s="51">
        <f t="shared" si="53"/>
        <v>10000000000</v>
      </c>
      <c r="BY28" s="51">
        <f t="shared" si="54"/>
        <v>10000000000</v>
      </c>
      <c r="BZ28" s="51">
        <f t="shared" si="55"/>
        <v>10000000000</v>
      </c>
      <c r="CA28" s="51">
        <f t="shared" si="56"/>
        <v>10000000000</v>
      </c>
      <c r="CB28" s="51">
        <f t="shared" si="57"/>
        <v>10000000000</v>
      </c>
      <c r="CC28" s="51">
        <f t="shared" si="58"/>
        <v>10000000000</v>
      </c>
      <c r="CD28" s="51">
        <f t="shared" si="59"/>
        <v>10000000000</v>
      </c>
      <c r="CE28" s="51">
        <f t="shared" si="60"/>
        <v>10000000000</v>
      </c>
      <c r="CF28" s="51">
        <f t="shared" si="61"/>
        <v>10000000000</v>
      </c>
      <c r="CG28" s="51">
        <f t="shared" si="62"/>
        <v>10000000000</v>
      </c>
      <c r="CH28" s="51">
        <f t="shared" si="63"/>
        <v>0</v>
      </c>
      <c r="CI28" s="51">
        <f t="shared" si="64"/>
        <v>1000000</v>
      </c>
      <c r="CJ28" s="51">
        <f t="shared" si="65"/>
        <v>10000000000</v>
      </c>
      <c r="CK28" s="51">
        <f t="shared" si="66"/>
        <v>10000000000</v>
      </c>
      <c r="CL28" s="51">
        <f t="shared" si="67"/>
        <v>10000000000</v>
      </c>
      <c r="CM28" s="51">
        <f t="shared" si="68"/>
        <v>10000000000</v>
      </c>
      <c r="CN28" s="51">
        <f t="shared" si="69"/>
        <v>10000000000</v>
      </c>
      <c r="CO28" s="51">
        <f t="shared" si="70"/>
        <v>10000000000</v>
      </c>
      <c r="CP28" s="51">
        <f t="shared" si="71"/>
        <v>10000000000</v>
      </c>
      <c r="CQ28" s="51">
        <f t="shared" si="72"/>
        <v>10000000000</v>
      </c>
      <c r="CR28" s="51">
        <f t="shared" si="73"/>
        <v>10000000000</v>
      </c>
      <c r="CS28" s="51">
        <f t="shared" si="74"/>
        <v>10000000000</v>
      </c>
      <c r="CT28" s="7">
        <f t="shared" si="75"/>
        <v>50000</v>
      </c>
      <c r="CU28" s="7">
        <f t="shared" si="76"/>
        <v>0</v>
      </c>
      <c r="CV28" s="7">
        <f t="shared" si="76"/>
        <v>0</v>
      </c>
      <c r="CW28" s="7">
        <f t="shared" si="76"/>
        <v>0</v>
      </c>
      <c r="CX28" s="7">
        <f t="shared" si="76"/>
        <v>0</v>
      </c>
      <c r="CY28" s="7">
        <f t="shared" si="76"/>
        <v>0</v>
      </c>
      <c r="CZ28" s="7">
        <f t="shared" si="76"/>
        <v>0</v>
      </c>
      <c r="DA28" s="7">
        <f t="shared" si="76"/>
        <v>0</v>
      </c>
      <c r="DB28" s="7">
        <f t="shared" si="76"/>
        <v>0</v>
      </c>
      <c r="DC28" s="7">
        <f t="shared" si="76"/>
        <v>0</v>
      </c>
      <c r="DD28" s="7">
        <f t="shared" si="76"/>
        <v>0</v>
      </c>
      <c r="DE28" s="37">
        <f t="shared" si="77"/>
        <v>0.05</v>
      </c>
      <c r="DF28" s="37">
        <f t="shared" si="78"/>
        <v>0.09</v>
      </c>
      <c r="DG28" s="7">
        <f t="shared" si="79"/>
        <v>0</v>
      </c>
      <c r="DH28" s="7">
        <f t="shared" si="80"/>
        <v>0</v>
      </c>
      <c r="DI28" s="7">
        <f t="shared" si="81"/>
        <v>0</v>
      </c>
      <c r="DJ28" s="7">
        <f t="shared" si="82"/>
        <v>0</v>
      </c>
      <c r="DK28" s="7">
        <f t="shared" si="83"/>
        <v>0</v>
      </c>
      <c r="DL28" s="7">
        <f t="shared" si="84"/>
        <v>0</v>
      </c>
      <c r="DM28" s="7">
        <f t="shared" si="85"/>
        <v>0</v>
      </c>
      <c r="DN28" s="7">
        <f t="shared" si="86"/>
        <v>0</v>
      </c>
      <c r="DO28" s="7">
        <f t="shared" si="87"/>
        <v>0</v>
      </c>
      <c r="DP28" s="7">
        <f t="shared" si="88"/>
        <v>0</v>
      </c>
      <c r="DQ28" s="7">
        <f t="shared" si="89"/>
        <v>3772.7384306276745</v>
      </c>
      <c r="DR28" s="37">
        <f t="shared" si="90"/>
        <v>0.05</v>
      </c>
      <c r="DS28" s="7">
        <f t="shared" si="91"/>
        <v>581.54248549327281</v>
      </c>
      <c r="DT28" s="7" t="b">
        <f t="shared" si="92"/>
        <v>0</v>
      </c>
      <c r="DU28" s="7" t="b">
        <f t="shared" si="93"/>
        <v>0</v>
      </c>
      <c r="DV28" s="7" t="b">
        <f t="shared" si="94"/>
        <v>0</v>
      </c>
      <c r="DW28" s="7" t="b">
        <f t="shared" si="95"/>
        <v>1</v>
      </c>
      <c r="DX28" s="7" t="b">
        <f t="shared" si="96"/>
        <v>0</v>
      </c>
      <c r="DY28" s="207">
        <f t="shared" si="97"/>
        <v>0.63415591769762181</v>
      </c>
      <c r="DZ28" s="7">
        <f t="shared" si="98"/>
        <v>10280.546189926934</v>
      </c>
      <c r="EA28" s="36">
        <f t="shared" si="99"/>
        <v>0.12</v>
      </c>
      <c r="EB28" s="51">
        <f t="shared" si="170"/>
        <v>10280.546189926934</v>
      </c>
      <c r="EC28" s="7">
        <f t="shared" si="100"/>
        <v>34969.295170967409</v>
      </c>
      <c r="ED28" s="7">
        <f t="shared" si="101"/>
        <v>142138.12649233735</v>
      </c>
      <c r="EE28" s="7">
        <f t="shared" si="102"/>
        <v>303042.10319495678</v>
      </c>
      <c r="EF28" s="7">
        <f t="shared" si="103"/>
        <v>578651.39724717184</v>
      </c>
      <c r="EG28" s="7">
        <f t="shared" si="104"/>
        <v>734732.02289172681</v>
      </c>
      <c r="EH28" s="7">
        <f t="shared" si="105"/>
        <v>3496.9295170967412</v>
      </c>
      <c r="EI28" s="7">
        <f t="shared" si="106"/>
        <v>16357.189275661134</v>
      </c>
      <c r="EJ28" s="7">
        <f t="shared" si="107"/>
        <v>51756.064150237413</v>
      </c>
      <c r="EK28" s="7">
        <f t="shared" si="108"/>
        <v>117902.29472276903</v>
      </c>
      <c r="EL28" s="7">
        <f t="shared" si="109"/>
        <v>167848.09492902661</v>
      </c>
      <c r="EM28" s="7">
        <f t="shared" si="110"/>
        <v>310503.22436290025</v>
      </c>
      <c r="EN28" s="7">
        <f t="shared" si="111"/>
        <v>388882.67905644787</v>
      </c>
      <c r="EO28" s="7">
        <f t="shared" si="112"/>
        <v>485349.70021773729</v>
      </c>
      <c r="EP28" s="7">
        <f t="shared" si="113"/>
        <v>581816.72137902665</v>
      </c>
      <c r="EQ28" s="7">
        <f t="shared" si="114"/>
        <v>1130472.9042338601</v>
      </c>
      <c r="ER28" s="7">
        <f t="shared" si="115"/>
        <v>6294.4731307741331</v>
      </c>
      <c r="ES28" s="10">
        <f t="shared" si="116"/>
        <v>1</v>
      </c>
      <c r="ET28" s="16">
        <f t="shared" si="117"/>
        <v>1</v>
      </c>
      <c r="EU28" s="16">
        <f t="shared" si="118"/>
        <v>24</v>
      </c>
      <c r="EV28" s="7">
        <f t="shared" si="119"/>
        <v>0</v>
      </c>
      <c r="EW28" s="37">
        <f t="shared" si="143"/>
        <v>2.6505765981738927E-2</v>
      </c>
      <c r="EX28" s="7">
        <f t="shared" si="120"/>
        <v>14053.284620554608</v>
      </c>
      <c r="EY28" s="7">
        <f t="shared" si="171"/>
        <v>8911.9736052136832</v>
      </c>
      <c r="EZ28" s="37">
        <f t="shared" si="121"/>
        <v>0.16999999999999998</v>
      </c>
      <c r="FA28" s="37">
        <f t="shared" si="122"/>
        <v>9.7381978275560374E-2</v>
      </c>
      <c r="FB28" s="7">
        <f t="shared" si="123"/>
        <v>86742.736674205997</v>
      </c>
      <c r="FC28" s="7">
        <f t="shared" si="173"/>
        <v>55008.41977923426</v>
      </c>
      <c r="FD28" s="7">
        <f t="shared" si="144"/>
        <v>4746.4724002843468</v>
      </c>
      <c r="FE28" s="7">
        <f t="shared" si="124"/>
        <v>55000</v>
      </c>
      <c r="FF28" s="7">
        <f t="shared" si="145"/>
        <v>37197.156869952305</v>
      </c>
      <c r="FG28" s="7">
        <f t="shared" si="146"/>
        <v>0</v>
      </c>
      <c r="FH28" s="7">
        <f t="shared" si="147"/>
        <v>3170.7795884881089</v>
      </c>
      <c r="FI28" s="7">
        <f t="shared" si="125"/>
        <v>2512.8366029606468</v>
      </c>
      <c r="FJ28" s="7">
        <f t="shared" si="148"/>
        <v>23552.456926007526</v>
      </c>
      <c r="FK28" s="7">
        <f t="shared" si="149"/>
        <v>0</v>
      </c>
      <c r="FL28" s="7">
        <f t="shared" si="150"/>
        <v>0</v>
      </c>
      <c r="FM28" s="7">
        <f t="shared" si="151"/>
        <v>0</v>
      </c>
      <c r="FN28" s="7">
        <f t="shared" si="152"/>
        <v>0</v>
      </c>
      <c r="FO28" s="7">
        <f t="shared" si="153"/>
        <v>0</v>
      </c>
      <c r="FP28" s="7">
        <f t="shared" si="154"/>
        <v>6519.4692035059043</v>
      </c>
      <c r="FQ28" s="7">
        <f t="shared" si="155"/>
        <v>2392.5044017077785</v>
      </c>
      <c r="FR28" s="7">
        <f t="shared" si="156"/>
        <v>0</v>
      </c>
      <c r="FS28" s="7">
        <f t="shared" si="157"/>
        <v>31617.583339459456</v>
      </c>
      <c r="FT28" s="7">
        <f t="shared" si="158"/>
        <v>8372.831436552673</v>
      </c>
      <c r="FU28" s="7">
        <f t="shared" si="159"/>
        <v>0</v>
      </c>
      <c r="FV28" s="7">
        <f t="shared" si="160"/>
        <v>42774.867369630527</v>
      </c>
      <c r="FW28" s="7">
        <f t="shared" si="161"/>
        <v>8372.831436552673</v>
      </c>
      <c r="FX28" s="7">
        <f t="shared" si="162"/>
        <v>0</v>
      </c>
      <c r="FY28" s="7">
        <f t="shared" si="163"/>
        <v>3170.7795884881089</v>
      </c>
      <c r="FZ28" s="7">
        <f t="shared" si="164"/>
        <v>0</v>
      </c>
      <c r="GA28" s="7">
        <f t="shared" si="165"/>
        <v>0</v>
      </c>
      <c r="GB28" s="7">
        <f t="shared" si="166"/>
        <v>42774.867369630527</v>
      </c>
      <c r="GC28" s="7">
        <f t="shared" si="126"/>
        <v>1593.5302019746835</v>
      </c>
      <c r="GD28" s="7">
        <f t="shared" si="127"/>
        <v>1320735.7326543531</v>
      </c>
      <c r="GE28" s="7">
        <f t="shared" si="128"/>
        <v>2140135.5460550655</v>
      </c>
      <c r="GF28" s="7">
        <f t="shared" si="129"/>
        <v>132606.93867291909</v>
      </c>
      <c r="GG28" s="7">
        <f t="shared" si="130"/>
        <v>685359.0735420601</v>
      </c>
      <c r="GH28" s="7">
        <f t="shared" si="131"/>
        <v>0</v>
      </c>
      <c r="GI28" s="7">
        <f t="shared" si="132"/>
        <v>0</v>
      </c>
      <c r="GJ28" s="7">
        <v>1887406.3857340203</v>
      </c>
      <c r="GK28" s="7">
        <v>639885.63333333342</v>
      </c>
    </row>
    <row r="29" spans="1:193" x14ac:dyDescent="0.55000000000000004">
      <c r="A29" s="60">
        <f t="shared" si="0"/>
        <v>2049</v>
      </c>
      <c r="B29" s="60">
        <f t="shared" si="1"/>
        <v>86</v>
      </c>
      <c r="C29" s="60">
        <f t="shared" si="2"/>
        <v>86</v>
      </c>
      <c r="D29" s="7">
        <f t="shared" si="3"/>
        <v>0</v>
      </c>
      <c r="E29" s="7">
        <f t="shared" si="4"/>
        <v>5000</v>
      </c>
      <c r="F29" s="7">
        <f t="shared" si="5"/>
        <v>0</v>
      </c>
      <c r="G29" s="7">
        <f t="shared" si="6"/>
        <v>0</v>
      </c>
      <c r="H29" s="7">
        <f t="shared" si="7"/>
        <v>43381.364116763572</v>
      </c>
      <c r="I29" s="7">
        <f t="shared" si="8"/>
        <v>16330.61622884449</v>
      </c>
      <c r="J29" s="7">
        <f t="shared" si="9"/>
        <v>43381.364116763572</v>
      </c>
      <c r="K29" s="7">
        <f t="shared" si="10"/>
        <v>5000</v>
      </c>
      <c r="L29" s="7">
        <f t="shared" si="11"/>
        <v>0</v>
      </c>
      <c r="M29" s="7">
        <f t="shared" si="12"/>
        <v>5000</v>
      </c>
      <c r="N29" s="7">
        <f t="shared" si="13"/>
        <v>48381.364116763572</v>
      </c>
      <c r="O29" s="7">
        <f t="shared" si="14"/>
        <v>42677.290127455984</v>
      </c>
      <c r="P29" s="7">
        <v>0</v>
      </c>
      <c r="Q29" s="29">
        <v>25606.374076473585</v>
      </c>
      <c r="R29" s="29">
        <v>17070.9160509824</v>
      </c>
      <c r="S29" s="7">
        <v>0</v>
      </c>
      <c r="T29" s="7">
        <f t="shared" si="15"/>
        <v>15231.854319800848</v>
      </c>
      <c r="U29" s="7">
        <f t="shared" si="16"/>
        <v>0</v>
      </c>
      <c r="V29" s="7">
        <f t="shared" si="17"/>
        <v>28976.78248164893</v>
      </c>
      <c r="W29" s="7"/>
      <c r="X29" s="7"/>
      <c r="Y29" s="7">
        <f t="shared" si="18"/>
        <v>17386.069488989357</v>
      </c>
      <c r="Z29" s="7">
        <f t="shared" si="18"/>
        <v>11590.712992659577</v>
      </c>
      <c r="AA29" s="7">
        <f t="shared" si="19"/>
        <v>0</v>
      </c>
      <c r="AB29" s="7"/>
      <c r="AC29" s="7">
        <f t="shared" si="20"/>
        <v>435195.83770859562</v>
      </c>
      <c r="AD29" s="7">
        <f t="shared" si="21"/>
        <v>0</v>
      </c>
      <c r="AE29" s="7">
        <f t="shared" si="22"/>
        <v>1095433.1312334742</v>
      </c>
      <c r="AF29" s="9">
        <f t="shared" si="23"/>
        <v>657259.87874008436</v>
      </c>
      <c r="AG29" s="56">
        <f t="shared" si="24"/>
        <v>438173.25249338982</v>
      </c>
      <c r="AH29" s="165">
        <f t="shared" si="25"/>
        <v>0.84</v>
      </c>
      <c r="AI29" s="56">
        <f t="shared" si="133"/>
        <v>1530628.9689420699</v>
      </c>
      <c r="AJ29" s="56">
        <f t="shared" si="26"/>
        <v>270570.6037649801</v>
      </c>
      <c r="AK29" s="56">
        <f t="shared" si="27"/>
        <v>0</v>
      </c>
      <c r="AL29" s="56">
        <f t="shared" si="167"/>
        <v>572085.62568190612</v>
      </c>
      <c r="AM29" s="9">
        <f t="shared" si="168"/>
        <v>842656.22944688622</v>
      </c>
      <c r="AN29" s="9">
        <f t="shared" si="28"/>
        <v>71654.072609104915</v>
      </c>
      <c r="AO29" s="9">
        <f t="shared" si="29"/>
        <v>42992.443565462941</v>
      </c>
      <c r="AP29" s="9">
        <f t="shared" si="30"/>
        <v>28661.629043641977</v>
      </c>
      <c r="AQ29" s="9">
        <f t="shared" si="134"/>
        <v>118576.60898728756</v>
      </c>
      <c r="AR29" s="9">
        <f t="shared" si="31"/>
        <v>25000</v>
      </c>
      <c r="AS29" s="9">
        <f t="shared" si="32"/>
        <v>34000</v>
      </c>
      <c r="AT29" s="9">
        <f t="shared" si="33"/>
        <v>71654.072609104915</v>
      </c>
      <c r="AU29" s="9">
        <f t="shared" si="135"/>
        <v>36874.159499249035</v>
      </c>
      <c r="AV29" s="9">
        <f t="shared" si="136"/>
        <v>96885.92692890577</v>
      </c>
      <c r="AW29" s="7">
        <f t="shared" si="137"/>
        <v>135267.29104566935</v>
      </c>
      <c r="AX29" s="7">
        <f t="shared" si="138"/>
        <v>128760.08642815481</v>
      </c>
      <c r="AY29" s="7">
        <f t="shared" si="34"/>
        <v>15231.854319800848</v>
      </c>
      <c r="AZ29" s="7">
        <f t="shared" si="139"/>
        <v>3760.0864281548129</v>
      </c>
      <c r="BA29" s="7">
        <f t="shared" si="35"/>
        <v>142.88328426988289</v>
      </c>
      <c r="BB29" s="7">
        <f t="shared" si="36"/>
        <v>0</v>
      </c>
      <c r="BC29" s="7">
        <f t="shared" si="37"/>
        <v>0</v>
      </c>
      <c r="BD29" s="7">
        <f t="shared" si="38"/>
        <v>22402.656908062683</v>
      </c>
      <c r="BE29" s="7">
        <f t="shared" si="39"/>
        <v>31511.989822100735</v>
      </c>
      <c r="BF29" s="7">
        <f t="shared" si="140"/>
        <v>31511.989822100735</v>
      </c>
      <c r="BG29" s="7">
        <f t="shared" si="169"/>
        <v>106357.42952009213</v>
      </c>
      <c r="BH29" s="7">
        <f t="shared" si="172"/>
        <v>97248.096606054081</v>
      </c>
      <c r="BI29" s="7">
        <f t="shared" si="141"/>
        <v>106357.42952009213</v>
      </c>
      <c r="BJ29" s="7">
        <f t="shared" si="40"/>
        <v>15231.854319800848</v>
      </c>
      <c r="BK29" s="7">
        <f t="shared" si="41"/>
        <v>0</v>
      </c>
      <c r="BL29" s="7">
        <f t="shared" si="42"/>
        <v>5000</v>
      </c>
      <c r="BM29" s="7">
        <f t="shared" si="43"/>
        <v>71654.072609104915</v>
      </c>
      <c r="BN29" s="7">
        <f t="shared" si="44"/>
        <v>0</v>
      </c>
      <c r="BO29" s="7">
        <f t="shared" si="45"/>
        <v>0</v>
      </c>
      <c r="BP29" s="7">
        <f t="shared" si="142"/>
        <v>5100</v>
      </c>
      <c r="BQ29" s="7">
        <f t="shared" si="46"/>
        <v>5100</v>
      </c>
      <c r="BR29" s="7">
        <f t="shared" si="47"/>
        <v>0</v>
      </c>
      <c r="BS29" s="7">
        <f t="shared" si="48"/>
        <v>0</v>
      </c>
      <c r="BT29" s="7">
        <f t="shared" si="49"/>
        <v>86785.92692890577</v>
      </c>
      <c r="BU29" s="157">
        <f t="shared" si="50"/>
        <v>0.16576917520335926</v>
      </c>
      <c r="BV29" s="51">
        <f t="shared" si="51"/>
        <v>0</v>
      </c>
      <c r="BW29" s="51">
        <f t="shared" si="52"/>
        <v>1000000</v>
      </c>
      <c r="BX29" s="51">
        <f t="shared" si="53"/>
        <v>10000000000</v>
      </c>
      <c r="BY29" s="51">
        <f t="shared" si="54"/>
        <v>10000000000</v>
      </c>
      <c r="BZ29" s="51">
        <f t="shared" si="55"/>
        <v>10000000000</v>
      </c>
      <c r="CA29" s="51">
        <f t="shared" si="56"/>
        <v>10000000000</v>
      </c>
      <c r="CB29" s="51">
        <f t="shared" si="57"/>
        <v>10000000000</v>
      </c>
      <c r="CC29" s="51">
        <f t="shared" si="58"/>
        <v>10000000000</v>
      </c>
      <c r="CD29" s="51">
        <f t="shared" si="59"/>
        <v>10000000000</v>
      </c>
      <c r="CE29" s="51">
        <f t="shared" si="60"/>
        <v>10000000000</v>
      </c>
      <c r="CF29" s="51">
        <f t="shared" si="61"/>
        <v>10000000000</v>
      </c>
      <c r="CG29" s="51">
        <f t="shared" si="62"/>
        <v>10000000000</v>
      </c>
      <c r="CH29" s="51">
        <f t="shared" si="63"/>
        <v>0</v>
      </c>
      <c r="CI29" s="51">
        <f t="shared" si="64"/>
        <v>1000000</v>
      </c>
      <c r="CJ29" s="51">
        <f t="shared" si="65"/>
        <v>10000000000</v>
      </c>
      <c r="CK29" s="51">
        <f t="shared" si="66"/>
        <v>10000000000</v>
      </c>
      <c r="CL29" s="51">
        <f t="shared" si="67"/>
        <v>10000000000</v>
      </c>
      <c r="CM29" s="51">
        <f t="shared" si="68"/>
        <v>10000000000</v>
      </c>
      <c r="CN29" s="51">
        <f t="shared" si="69"/>
        <v>10000000000</v>
      </c>
      <c r="CO29" s="51">
        <f t="shared" si="70"/>
        <v>10000000000</v>
      </c>
      <c r="CP29" s="51">
        <f t="shared" si="71"/>
        <v>10000000000</v>
      </c>
      <c r="CQ29" s="51">
        <f t="shared" si="72"/>
        <v>10000000000</v>
      </c>
      <c r="CR29" s="51">
        <f t="shared" si="73"/>
        <v>10000000000</v>
      </c>
      <c r="CS29" s="51">
        <f t="shared" si="74"/>
        <v>10000000000</v>
      </c>
      <c r="CT29" s="7">
        <f t="shared" si="75"/>
        <v>50000</v>
      </c>
      <c r="CU29" s="7">
        <f t="shared" si="76"/>
        <v>0</v>
      </c>
      <c r="CV29" s="7">
        <f t="shared" si="76"/>
        <v>0</v>
      </c>
      <c r="CW29" s="7">
        <f t="shared" si="76"/>
        <v>0</v>
      </c>
      <c r="CX29" s="7">
        <f t="shared" si="76"/>
        <v>0</v>
      </c>
      <c r="CY29" s="7">
        <f t="shared" si="76"/>
        <v>0</v>
      </c>
      <c r="CZ29" s="7">
        <f t="shared" si="76"/>
        <v>0</v>
      </c>
      <c r="DA29" s="7">
        <f t="shared" si="76"/>
        <v>0</v>
      </c>
      <c r="DB29" s="7">
        <f t="shared" si="76"/>
        <v>0</v>
      </c>
      <c r="DC29" s="7">
        <f t="shared" si="76"/>
        <v>0</v>
      </c>
      <c r="DD29" s="7">
        <f t="shared" si="76"/>
        <v>0</v>
      </c>
      <c r="DE29" s="37">
        <f t="shared" si="77"/>
        <v>0.05</v>
      </c>
      <c r="DF29" s="37">
        <f t="shared" si="78"/>
        <v>0.09</v>
      </c>
      <c r="DG29" s="7">
        <f t="shared" si="79"/>
        <v>0</v>
      </c>
      <c r="DH29" s="7">
        <f t="shared" si="80"/>
        <v>0</v>
      </c>
      <c r="DI29" s="7">
        <f t="shared" si="81"/>
        <v>0</v>
      </c>
      <c r="DJ29" s="7">
        <f t="shared" si="82"/>
        <v>0</v>
      </c>
      <c r="DK29" s="7">
        <f t="shared" si="83"/>
        <v>0</v>
      </c>
      <c r="DL29" s="7">
        <f t="shared" si="84"/>
        <v>0</v>
      </c>
      <c r="DM29" s="7">
        <f t="shared" si="85"/>
        <v>0</v>
      </c>
      <c r="DN29" s="7">
        <f t="shared" si="86"/>
        <v>0</v>
      </c>
      <c r="DO29" s="7">
        <f t="shared" si="87"/>
        <v>0</v>
      </c>
      <c r="DP29" s="7">
        <f t="shared" si="88"/>
        <v>0</v>
      </c>
      <c r="DQ29" s="7">
        <f t="shared" si="89"/>
        <v>4339.2963464452887</v>
      </c>
      <c r="DR29" s="37">
        <f t="shared" si="90"/>
        <v>0.05</v>
      </c>
      <c r="DS29" s="7">
        <f t="shared" si="91"/>
        <v>719.3215763131858</v>
      </c>
      <c r="DT29" s="7" t="b">
        <f t="shared" si="92"/>
        <v>0</v>
      </c>
      <c r="DU29" s="7" t="b">
        <f t="shared" si="93"/>
        <v>0</v>
      </c>
      <c r="DV29" s="7" t="b">
        <f t="shared" si="94"/>
        <v>1</v>
      </c>
      <c r="DW29" s="7" t="b">
        <f t="shared" si="95"/>
        <v>1</v>
      </c>
      <c r="DX29" s="7" t="b">
        <f t="shared" si="96"/>
        <v>0</v>
      </c>
      <c r="DY29" s="207">
        <f t="shared" si="97"/>
        <v>0.62172148793884485</v>
      </c>
      <c r="DZ29" s="7">
        <f t="shared" si="98"/>
        <v>15807.816431119852</v>
      </c>
      <c r="EA29" s="36">
        <f t="shared" si="99"/>
        <v>0.22</v>
      </c>
      <c r="EB29" s="51">
        <f t="shared" si="170"/>
        <v>15950.699715389736</v>
      </c>
      <c r="EC29" s="7">
        <f t="shared" si="100"/>
        <v>17799.371242022407</v>
      </c>
      <c r="ED29" s="7">
        <f t="shared" si="101"/>
        <v>72348.306384599695</v>
      </c>
      <c r="EE29" s="7">
        <f t="shared" si="102"/>
        <v>154248.43052623296</v>
      </c>
      <c r="EF29" s="7">
        <f t="shared" si="103"/>
        <v>294533.56119881041</v>
      </c>
      <c r="EG29" s="7">
        <f t="shared" si="104"/>
        <v>373978.59965188889</v>
      </c>
      <c r="EH29" s="7">
        <f t="shared" si="105"/>
        <v>1779.9371242022407</v>
      </c>
      <c r="EI29" s="7">
        <f t="shared" si="106"/>
        <v>8325.8093413115166</v>
      </c>
      <c r="EJ29" s="7">
        <f t="shared" si="107"/>
        <v>26343.836652470836</v>
      </c>
      <c r="EK29" s="7">
        <f t="shared" si="108"/>
        <v>60012.268013889421</v>
      </c>
      <c r="EL29" s="7">
        <f t="shared" si="109"/>
        <v>85434.68031887454</v>
      </c>
      <c r="EM29" s="7">
        <f t="shared" si="110"/>
        <v>158046.1412007162</v>
      </c>
      <c r="EN29" s="7">
        <f t="shared" si="111"/>
        <v>197941.28363973193</v>
      </c>
      <c r="EO29" s="7">
        <f t="shared" si="112"/>
        <v>247042.99741082822</v>
      </c>
      <c r="EP29" s="7">
        <f t="shared" si="113"/>
        <v>296144.7111819245</v>
      </c>
      <c r="EQ29" s="7">
        <f t="shared" si="114"/>
        <v>767214.27767337952</v>
      </c>
      <c r="ER29" s="7">
        <f t="shared" si="115"/>
        <v>3203.886823564033</v>
      </c>
      <c r="ES29" s="10">
        <f t="shared" si="116"/>
        <v>1</v>
      </c>
      <c r="ET29" s="16">
        <f t="shared" si="117"/>
        <v>1</v>
      </c>
      <c r="EU29" s="16">
        <f t="shared" si="118"/>
        <v>12</v>
      </c>
      <c r="EV29" s="7">
        <f t="shared" si="119"/>
        <v>0</v>
      </c>
      <c r="EW29" s="37">
        <f t="shared" si="143"/>
        <v>2.910396652353648E-2</v>
      </c>
      <c r="EX29" s="7">
        <f t="shared" si="120"/>
        <v>20289.996061835023</v>
      </c>
      <c r="EY29" s="7">
        <f t="shared" si="171"/>
        <v>12614.726541837374</v>
      </c>
      <c r="EZ29" s="37">
        <f t="shared" si="121"/>
        <v>0.27</v>
      </c>
      <c r="FA29" s="37">
        <f t="shared" si="122"/>
        <v>0.14999927850247741</v>
      </c>
      <c r="FB29" s="7">
        <f t="shared" si="123"/>
        <v>70768.658182384534</v>
      </c>
      <c r="FC29" s="7">
        <f t="shared" si="173"/>
        <v>43998.395464587622</v>
      </c>
      <c r="FD29" s="7">
        <f t="shared" si="144"/>
        <v>5932.4271878298932</v>
      </c>
      <c r="FE29" s="7">
        <f t="shared" si="124"/>
        <v>44000</v>
      </c>
      <c r="FF29" s="7">
        <f t="shared" si="145"/>
        <v>26971.126247491062</v>
      </c>
      <c r="FG29" s="7">
        <f t="shared" si="146"/>
        <v>0</v>
      </c>
      <c r="FH29" s="7">
        <f t="shared" si="147"/>
        <v>3108.6074396942245</v>
      </c>
      <c r="FI29" s="7">
        <f t="shared" si="125"/>
        <v>2768.3547143371729</v>
      </c>
      <c r="FJ29" s="7">
        <f t="shared" si="148"/>
        <v>26533.388319239708</v>
      </c>
      <c r="FK29" s="7">
        <f t="shared" si="149"/>
        <v>0</v>
      </c>
      <c r="FL29" s="7">
        <f t="shared" si="150"/>
        <v>0</v>
      </c>
      <c r="FM29" s="7">
        <f t="shared" si="151"/>
        <v>88.833608097860534</v>
      </c>
      <c r="FN29" s="7">
        <f t="shared" si="152"/>
        <v>0</v>
      </c>
      <c r="FO29" s="7">
        <f t="shared" si="153"/>
        <v>0</v>
      </c>
      <c r="FP29" s="7">
        <f t="shared" si="154"/>
        <v>9828.0591526199551</v>
      </c>
      <c r="FQ29" s="7">
        <f t="shared" si="155"/>
        <v>2697.8337811195579</v>
      </c>
      <c r="FR29" s="7">
        <f t="shared" si="156"/>
        <v>0</v>
      </c>
      <c r="FS29" s="7">
        <f t="shared" si="157"/>
        <v>22925.457310367401</v>
      </c>
      <c r="FT29" s="7">
        <f t="shared" si="158"/>
        <v>9469.9711317743058</v>
      </c>
      <c r="FU29" s="7">
        <f t="shared" si="159"/>
        <v>0</v>
      </c>
      <c r="FV29" s="7">
        <f t="shared" si="160"/>
        <v>44548.876639410737</v>
      </c>
      <c r="FW29" s="7">
        <f t="shared" si="161"/>
        <v>9469.9711317743058</v>
      </c>
      <c r="FX29" s="7">
        <f t="shared" si="162"/>
        <v>0</v>
      </c>
      <c r="FY29" s="7">
        <f t="shared" si="163"/>
        <v>3108.6074396942245</v>
      </c>
      <c r="FZ29" s="7">
        <f t="shared" si="164"/>
        <v>0</v>
      </c>
      <c r="GA29" s="7">
        <f t="shared" si="165"/>
        <v>0</v>
      </c>
      <c r="GB29" s="7">
        <f t="shared" si="166"/>
        <v>44548.876639410737</v>
      </c>
      <c r="GC29" s="7">
        <f t="shared" si="126"/>
        <v>1721.145612140223</v>
      </c>
      <c r="GD29" s="7">
        <f t="shared" si="127"/>
        <v>1364734.1281189409</v>
      </c>
      <c r="GE29" s="7">
        <f t="shared" si="128"/>
        <v>2207390.3575658272</v>
      </c>
      <c r="GF29" s="7">
        <f t="shared" si="129"/>
        <v>145221.66521475647</v>
      </c>
      <c r="GG29" s="7">
        <f t="shared" si="130"/>
        <v>712330.1997895512</v>
      </c>
      <c r="GH29" s="7">
        <f t="shared" si="131"/>
        <v>0</v>
      </c>
      <c r="GI29" s="7">
        <f t="shared" si="132"/>
        <v>0</v>
      </c>
      <c r="GJ29" s="7">
        <v>1938388.8083062037</v>
      </c>
      <c r="GK29" s="7">
        <v>666640.43333333347</v>
      </c>
    </row>
    <row r="30" spans="1:193" x14ac:dyDescent="0.55000000000000004">
      <c r="A30" s="60">
        <f t="shared" si="0"/>
        <v>2050</v>
      </c>
      <c r="B30" s="60">
        <f t="shared" si="1"/>
        <v>87</v>
      </c>
      <c r="C30" s="60">
        <f t="shared" si="2"/>
        <v>87</v>
      </c>
      <c r="D30" s="7">
        <f t="shared" si="3"/>
        <v>0</v>
      </c>
      <c r="E30" s="7">
        <f t="shared" si="4"/>
        <v>5000</v>
      </c>
      <c r="F30" s="7">
        <f t="shared" si="5"/>
        <v>0</v>
      </c>
      <c r="G30" s="7">
        <f t="shared" si="6"/>
        <v>0</v>
      </c>
      <c r="H30" s="7">
        <f t="shared" si="7"/>
        <v>44162.228670865319</v>
      </c>
      <c r="I30" s="7">
        <f t="shared" si="8"/>
        <v>16624.567320963692</v>
      </c>
      <c r="J30" s="7">
        <f t="shared" si="9"/>
        <v>44162.228670865319</v>
      </c>
      <c r="K30" s="7">
        <f t="shared" si="10"/>
        <v>5000</v>
      </c>
      <c r="L30" s="7">
        <f t="shared" si="11"/>
        <v>0</v>
      </c>
      <c r="M30" s="7">
        <f t="shared" si="12"/>
        <v>5000</v>
      </c>
      <c r="N30" s="7">
        <f t="shared" si="13"/>
        <v>49162.228670865319</v>
      </c>
      <c r="O30" s="7">
        <f t="shared" si="14"/>
        <v>45310.877865914204</v>
      </c>
      <c r="P30" s="7">
        <v>0</v>
      </c>
      <c r="Q30" s="29">
        <v>27186.526719548514</v>
      </c>
      <c r="R30" s="29">
        <v>18124.351146365691</v>
      </c>
      <c r="S30" s="7">
        <v>0</v>
      </c>
      <c r="T30" s="7">
        <f t="shared" si="15"/>
        <v>17475.477220247682</v>
      </c>
      <c r="U30" s="7">
        <f t="shared" si="16"/>
        <v>0</v>
      </c>
      <c r="V30" s="7">
        <f t="shared" si="17"/>
        <v>30760.867358632611</v>
      </c>
      <c r="W30" s="7"/>
      <c r="X30" s="7"/>
      <c r="Y30" s="7">
        <f t="shared" si="18"/>
        <v>18456.520415179562</v>
      </c>
      <c r="Z30" s="7">
        <f t="shared" si="18"/>
        <v>12304.346943453045</v>
      </c>
      <c r="AA30" s="7">
        <f t="shared" si="19"/>
        <v>0</v>
      </c>
      <c r="AB30" s="7"/>
      <c r="AC30" s="7">
        <f t="shared" si="20"/>
        <v>499299.34914993373</v>
      </c>
      <c r="AD30" s="7">
        <f t="shared" si="21"/>
        <v>0</v>
      </c>
      <c r="AE30" s="7">
        <f t="shared" si="22"/>
        <v>1097608.7831468964</v>
      </c>
      <c r="AF30" s="9">
        <f t="shared" si="23"/>
        <v>658565.26988813758</v>
      </c>
      <c r="AG30" s="56">
        <f t="shared" si="24"/>
        <v>439043.5132587587</v>
      </c>
      <c r="AH30" s="165">
        <f t="shared" si="25"/>
        <v>0.84</v>
      </c>
      <c r="AI30" s="56">
        <f t="shared" si="133"/>
        <v>1596908.1322968302</v>
      </c>
      <c r="AJ30" s="56">
        <f t="shared" si="26"/>
        <v>304338.36694156239</v>
      </c>
      <c r="AK30" s="56">
        <f t="shared" si="27"/>
        <v>0</v>
      </c>
      <c r="AL30" s="56">
        <f t="shared" si="167"/>
        <v>561982.20715645107</v>
      </c>
      <c r="AM30" s="9">
        <f t="shared" si="168"/>
        <v>866320.57409801346</v>
      </c>
      <c r="AN30" s="9">
        <f t="shared" si="28"/>
        <v>76071.745224546816</v>
      </c>
      <c r="AO30" s="9">
        <f t="shared" si="29"/>
        <v>45643.047134728076</v>
      </c>
      <c r="AP30" s="9">
        <f t="shared" si="30"/>
        <v>30428.698089818736</v>
      </c>
      <c r="AQ30" s="9">
        <f t="shared" si="134"/>
        <v>125628.33678022715</v>
      </c>
      <c r="AR30" s="9">
        <f t="shared" si="31"/>
        <v>25000</v>
      </c>
      <c r="AS30" s="9">
        <f t="shared" si="32"/>
        <v>34000</v>
      </c>
      <c r="AT30" s="9">
        <f t="shared" si="33"/>
        <v>76071.745224546816</v>
      </c>
      <c r="AU30" s="9">
        <f>IF(AQ30&lt;AR30,0,MIN(0.85*J30,MIN(AS30-AR30,AQ30-AR30)*0.5*J30+IF(AQ30&gt;AS30,0.85*(AQ30-AS30),0)*J30))</f>
        <v>37537.894370235517</v>
      </c>
      <c r="AV30" s="9">
        <f t="shared" si="136"/>
        <v>103547.22244479449</v>
      </c>
      <c r="AW30" s="7">
        <f t="shared" si="137"/>
        <v>142709.45111565982</v>
      </c>
      <c r="AX30" s="7">
        <f t="shared" si="138"/>
        <v>136085.11681503002</v>
      </c>
      <c r="AY30" s="7">
        <f t="shared" si="34"/>
        <v>17475.477220247682</v>
      </c>
      <c r="AZ30" s="7">
        <f t="shared" si="139"/>
        <v>11085.116815030022</v>
      </c>
      <c r="BA30" s="7">
        <f t="shared" si="35"/>
        <v>421.23443897114083</v>
      </c>
      <c r="BB30" s="7">
        <f t="shared" si="36"/>
        <v>0</v>
      </c>
      <c r="BC30" s="7">
        <f t="shared" si="37"/>
        <v>0</v>
      </c>
      <c r="BD30" s="7">
        <f t="shared" si="38"/>
        <v>22805.904732407813</v>
      </c>
      <c r="BE30" s="7">
        <f t="shared" si="39"/>
        <v>32334.163080456972</v>
      </c>
      <c r="BF30" s="7">
        <f t="shared" si="140"/>
        <v>32334.163080456972</v>
      </c>
      <c r="BG30" s="7">
        <f t="shared" si="169"/>
        <v>113279.21208262221</v>
      </c>
      <c r="BH30" s="7">
        <f t="shared" si="172"/>
        <v>103750.95373457305</v>
      </c>
      <c r="BI30" s="7">
        <f t="shared" si="141"/>
        <v>113279.21208262221</v>
      </c>
      <c r="BJ30" s="7">
        <f t="shared" si="40"/>
        <v>17475.477220247682</v>
      </c>
      <c r="BK30" s="7">
        <f t="shared" si="41"/>
        <v>0</v>
      </c>
      <c r="BL30" s="7">
        <f t="shared" si="42"/>
        <v>5000</v>
      </c>
      <c r="BM30" s="7">
        <f t="shared" si="43"/>
        <v>76071.745224546816</v>
      </c>
      <c r="BN30" s="7">
        <f t="shared" si="44"/>
        <v>0</v>
      </c>
      <c r="BO30" s="7">
        <f t="shared" si="45"/>
        <v>0</v>
      </c>
      <c r="BP30" s="7">
        <f t="shared" si="142"/>
        <v>5100</v>
      </c>
      <c r="BQ30" s="7">
        <f t="shared" si="46"/>
        <v>5100</v>
      </c>
      <c r="BR30" s="7">
        <f t="shared" si="47"/>
        <v>0</v>
      </c>
      <c r="BS30" s="7">
        <f t="shared" si="48"/>
        <v>0</v>
      </c>
      <c r="BT30" s="7">
        <f t="shared" si="49"/>
        <v>93447.22244479449</v>
      </c>
      <c r="BU30" s="157">
        <f t="shared" si="50"/>
        <v>0.17733099712716235</v>
      </c>
      <c r="BV30" s="51">
        <f t="shared" si="51"/>
        <v>0</v>
      </c>
      <c r="BW30" s="51">
        <f t="shared" si="52"/>
        <v>1000000</v>
      </c>
      <c r="BX30" s="51">
        <f t="shared" si="53"/>
        <v>10000000000</v>
      </c>
      <c r="BY30" s="51">
        <f t="shared" si="54"/>
        <v>10000000000</v>
      </c>
      <c r="BZ30" s="51">
        <f t="shared" si="55"/>
        <v>10000000000</v>
      </c>
      <c r="CA30" s="51">
        <f t="shared" si="56"/>
        <v>10000000000</v>
      </c>
      <c r="CB30" s="51">
        <f t="shared" si="57"/>
        <v>10000000000</v>
      </c>
      <c r="CC30" s="51">
        <f t="shared" si="58"/>
        <v>10000000000</v>
      </c>
      <c r="CD30" s="51">
        <f t="shared" si="59"/>
        <v>10000000000</v>
      </c>
      <c r="CE30" s="51">
        <f t="shared" si="60"/>
        <v>10000000000</v>
      </c>
      <c r="CF30" s="51">
        <f t="shared" si="61"/>
        <v>10000000000</v>
      </c>
      <c r="CG30" s="51">
        <f t="shared" si="62"/>
        <v>10000000000</v>
      </c>
      <c r="CH30" s="51">
        <f t="shared" si="63"/>
        <v>0</v>
      </c>
      <c r="CI30" s="51">
        <f t="shared" si="64"/>
        <v>1000000</v>
      </c>
      <c r="CJ30" s="51">
        <f t="shared" si="65"/>
        <v>10000000000</v>
      </c>
      <c r="CK30" s="51">
        <f t="shared" si="66"/>
        <v>10000000000</v>
      </c>
      <c r="CL30" s="51">
        <f t="shared" si="67"/>
        <v>10000000000</v>
      </c>
      <c r="CM30" s="51">
        <f t="shared" si="68"/>
        <v>10000000000</v>
      </c>
      <c r="CN30" s="51">
        <f t="shared" si="69"/>
        <v>10000000000</v>
      </c>
      <c r="CO30" s="51">
        <f t="shared" si="70"/>
        <v>10000000000</v>
      </c>
      <c r="CP30" s="51">
        <f t="shared" si="71"/>
        <v>10000000000</v>
      </c>
      <c r="CQ30" s="51">
        <f t="shared" si="72"/>
        <v>10000000000</v>
      </c>
      <c r="CR30" s="51">
        <f t="shared" si="73"/>
        <v>10000000000</v>
      </c>
      <c r="CS30" s="51">
        <f t="shared" si="74"/>
        <v>10000000000</v>
      </c>
      <c r="CT30" s="7">
        <f t="shared" si="75"/>
        <v>50000</v>
      </c>
      <c r="CU30" s="7">
        <f t="shared" si="76"/>
        <v>0</v>
      </c>
      <c r="CV30" s="7">
        <f t="shared" si="76"/>
        <v>0</v>
      </c>
      <c r="CW30" s="7">
        <f t="shared" si="76"/>
        <v>0</v>
      </c>
      <c r="CX30" s="7">
        <f t="shared" si="76"/>
        <v>0</v>
      </c>
      <c r="CY30" s="7">
        <f t="shared" si="76"/>
        <v>0</v>
      </c>
      <c r="CZ30" s="7">
        <f t="shared" ref="CZ30:DD38" si="174">IF(DL30=0, 0, CY30 + CO30*DK30)</f>
        <v>0</v>
      </c>
      <c r="DA30" s="7">
        <f t="shared" si="174"/>
        <v>0</v>
      </c>
      <c r="DB30" s="7">
        <f t="shared" si="174"/>
        <v>0</v>
      </c>
      <c r="DC30" s="7">
        <f t="shared" si="174"/>
        <v>0</v>
      </c>
      <c r="DD30" s="7">
        <f t="shared" si="174"/>
        <v>0</v>
      </c>
      <c r="DE30" s="37">
        <f t="shared" si="77"/>
        <v>0.05</v>
      </c>
      <c r="DF30" s="37">
        <f t="shared" si="78"/>
        <v>0.09</v>
      </c>
      <c r="DG30" s="7">
        <f t="shared" si="79"/>
        <v>0</v>
      </c>
      <c r="DH30" s="7">
        <f t="shared" si="80"/>
        <v>0</v>
      </c>
      <c r="DI30" s="7">
        <f t="shared" si="81"/>
        <v>0</v>
      </c>
      <c r="DJ30" s="7">
        <f t="shared" si="82"/>
        <v>0</v>
      </c>
      <c r="DK30" s="7">
        <f t="shared" si="83"/>
        <v>0</v>
      </c>
      <c r="DL30" s="7">
        <f t="shared" si="84"/>
        <v>0</v>
      </c>
      <c r="DM30" s="7">
        <f t="shared" si="85"/>
        <v>0</v>
      </c>
      <c r="DN30" s="7">
        <f t="shared" si="86"/>
        <v>0</v>
      </c>
      <c r="DO30" s="7">
        <f t="shared" si="87"/>
        <v>0</v>
      </c>
      <c r="DP30" s="7">
        <f t="shared" si="88"/>
        <v>0</v>
      </c>
      <c r="DQ30" s="7">
        <f t="shared" si="89"/>
        <v>4672.3611222397249</v>
      </c>
      <c r="DR30" s="37">
        <f t="shared" si="90"/>
        <v>0.05</v>
      </c>
      <c r="DS30" s="7">
        <f t="shared" si="91"/>
        <v>828.55445674495775</v>
      </c>
      <c r="DT30" s="7" t="b">
        <f t="shared" si="92"/>
        <v>0</v>
      </c>
      <c r="DU30" s="7" t="b">
        <f t="shared" si="93"/>
        <v>0</v>
      </c>
      <c r="DV30" s="7" t="b">
        <f t="shared" si="94"/>
        <v>1</v>
      </c>
      <c r="DW30" s="7" t="b">
        <f t="shared" si="95"/>
        <v>1</v>
      </c>
      <c r="DX30" s="7" t="b">
        <f t="shared" si="96"/>
        <v>0</v>
      </c>
      <c r="DY30" s="207">
        <f t="shared" si="97"/>
        <v>0.60953087052827937</v>
      </c>
      <c r="DZ30" s="7">
        <f t="shared" si="98"/>
        <v>17193.973869737059</v>
      </c>
      <c r="EA30" s="36">
        <f t="shared" si="99"/>
        <v>0.22</v>
      </c>
      <c r="EB30" s="51">
        <f t="shared" si="170"/>
        <v>17615.208308708199</v>
      </c>
      <c r="EC30" s="7">
        <f t="shared" si="100"/>
        <v>18119.75992437881</v>
      </c>
      <c r="ED30" s="7">
        <f t="shared" si="101"/>
        <v>73650.57589952249</v>
      </c>
      <c r="EE30" s="7">
        <f t="shared" si="102"/>
        <v>157024.90227570516</v>
      </c>
      <c r="EF30" s="7">
        <f t="shared" si="103"/>
        <v>299835.165300389</v>
      </c>
      <c r="EG30" s="7">
        <f t="shared" si="104"/>
        <v>380710.21444562287</v>
      </c>
      <c r="EH30" s="7">
        <f t="shared" si="105"/>
        <v>1811.9759924378811</v>
      </c>
      <c r="EI30" s="7">
        <f t="shared" si="106"/>
        <v>8475.6739094551212</v>
      </c>
      <c r="EJ30" s="7">
        <f t="shared" si="107"/>
        <v>26818.025712215305</v>
      </c>
      <c r="EK30" s="7">
        <f t="shared" si="108"/>
        <v>61092.488838139427</v>
      </c>
      <c r="EL30" s="7">
        <f t="shared" si="109"/>
        <v>86972.504564614268</v>
      </c>
      <c r="EM30" s="7">
        <f t="shared" si="110"/>
        <v>160890.9717423291</v>
      </c>
      <c r="EN30" s="7">
        <f t="shared" si="111"/>
        <v>201504.22674524711</v>
      </c>
      <c r="EO30" s="7">
        <f t="shared" si="112"/>
        <v>251489.77136422315</v>
      </c>
      <c r="EP30" s="7">
        <f t="shared" si="113"/>
        <v>301475.31598319917</v>
      </c>
      <c r="EQ30" s="7">
        <f t="shared" si="114"/>
        <v>781024.13467150042</v>
      </c>
      <c r="ER30" s="7">
        <f t="shared" si="115"/>
        <v>3261.5567863881856</v>
      </c>
      <c r="ES30" s="10">
        <f t="shared" si="116"/>
        <v>1</v>
      </c>
      <c r="ET30" s="16">
        <f t="shared" si="117"/>
        <v>1</v>
      </c>
      <c r="EU30" s="16">
        <f t="shared" si="118"/>
        <v>12</v>
      </c>
      <c r="EV30" s="7">
        <f t="shared" si="119"/>
        <v>0</v>
      </c>
      <c r="EW30" s="37">
        <f t="shared" si="143"/>
        <v>2.96027834212702E-2</v>
      </c>
      <c r="EX30" s="7">
        <f t="shared" si="120"/>
        <v>22287.569430947922</v>
      </c>
      <c r="EY30" s="7">
        <f t="shared" si="171"/>
        <v>13584.961597205154</v>
      </c>
      <c r="EZ30" s="37">
        <f t="shared" si="121"/>
        <v>0.27</v>
      </c>
      <c r="FA30" s="37">
        <f t="shared" si="122"/>
        <v>0.15617444574770886</v>
      </c>
      <c r="FB30" s="7">
        <f t="shared" si="123"/>
        <v>72185.537105831609</v>
      </c>
      <c r="FC30" s="7">
        <f t="shared" si="173"/>
        <v>43999.313271668951</v>
      </c>
      <c r="FD30" s="7">
        <f t="shared" si="144"/>
        <v>6343.4528573930202</v>
      </c>
      <c r="FE30" s="7">
        <f t="shared" si="124"/>
        <v>44000</v>
      </c>
      <c r="FF30" s="7">
        <f t="shared" si="145"/>
        <v>26918.241686221474</v>
      </c>
      <c r="FG30" s="7">
        <f t="shared" si="146"/>
        <v>0</v>
      </c>
      <c r="FH30" s="7">
        <f t="shared" si="147"/>
        <v>3047.6543526413971</v>
      </c>
      <c r="FI30" s="7">
        <f t="shared" si="125"/>
        <v>3431.10955644765</v>
      </c>
      <c r="FJ30" s="7">
        <f t="shared" si="148"/>
        <v>27618.378830011232</v>
      </c>
      <c r="FK30" s="7">
        <f t="shared" si="149"/>
        <v>0</v>
      </c>
      <c r="FL30" s="7">
        <f t="shared" si="150"/>
        <v>0</v>
      </c>
      <c r="FM30" s="7">
        <f t="shared" si="151"/>
        <v>256.75539428257082</v>
      </c>
      <c r="FN30" s="7">
        <f t="shared" si="152"/>
        <v>0</v>
      </c>
      <c r="FO30" s="7">
        <f t="shared" si="153"/>
        <v>0</v>
      </c>
      <c r="FP30" s="7">
        <f t="shared" si="154"/>
        <v>10480.257860661319</v>
      </c>
      <c r="FQ30" s="7">
        <f t="shared" si="155"/>
        <v>2847.948342261268</v>
      </c>
      <c r="FR30" s="7">
        <f t="shared" si="156"/>
        <v>0</v>
      </c>
      <c r="FS30" s="7">
        <f t="shared" si="157"/>
        <v>22880.505433288254</v>
      </c>
      <c r="FT30" s="7">
        <f t="shared" si="158"/>
        <v>10651.842842954686</v>
      </c>
      <c r="FU30" s="7">
        <f t="shared" si="159"/>
        <v>0</v>
      </c>
      <c r="FV30" s="7">
        <f t="shared" si="160"/>
        <v>46368.077089323502</v>
      </c>
      <c r="FW30" s="7">
        <f t="shared" si="161"/>
        <v>10651.842842954686</v>
      </c>
      <c r="FX30" s="7">
        <f t="shared" si="162"/>
        <v>0</v>
      </c>
      <c r="FY30" s="7">
        <f t="shared" si="163"/>
        <v>3047.6543526413971</v>
      </c>
      <c r="FZ30" s="7">
        <f t="shared" si="164"/>
        <v>0</v>
      </c>
      <c r="GA30" s="7">
        <f t="shared" si="165"/>
        <v>0</v>
      </c>
      <c r="GB30" s="7">
        <f t="shared" si="166"/>
        <v>46368.077089323502</v>
      </c>
      <c r="GC30" s="7">
        <f t="shared" si="126"/>
        <v>2091.3671948194346</v>
      </c>
      <c r="GD30" s="7">
        <f t="shared" si="127"/>
        <v>1408733.4413906098</v>
      </c>
      <c r="GE30" s="7">
        <f t="shared" si="128"/>
        <v>2275054.0154886232</v>
      </c>
      <c r="GF30" s="7">
        <f t="shared" si="129"/>
        <v>158806.62681196164</v>
      </c>
      <c r="GG30" s="7">
        <f t="shared" si="130"/>
        <v>739248.44147577265</v>
      </c>
      <c r="GH30" s="7">
        <f t="shared" si="131"/>
        <v>0</v>
      </c>
      <c r="GI30" s="7">
        <f t="shared" si="132"/>
        <v>0</v>
      </c>
      <c r="GJ30" s="7">
        <v>1989007.627789126</v>
      </c>
      <c r="GK30" s="7">
        <v>693395.23333333351</v>
      </c>
    </row>
    <row r="31" spans="1:193" x14ac:dyDescent="0.55000000000000004">
      <c r="A31" s="60">
        <f t="shared" si="0"/>
        <v>2051</v>
      </c>
      <c r="B31" s="60">
        <f t="shared" si="1"/>
        <v>88</v>
      </c>
      <c r="C31" s="60">
        <f t="shared" si="2"/>
        <v>88</v>
      </c>
      <c r="D31" s="7">
        <f t="shared" si="3"/>
        <v>0</v>
      </c>
      <c r="E31" s="7">
        <f t="shared" si="4"/>
        <v>5000</v>
      </c>
      <c r="F31" s="7">
        <f t="shared" si="5"/>
        <v>0</v>
      </c>
      <c r="G31" s="7">
        <f t="shared" si="6"/>
        <v>0</v>
      </c>
      <c r="H31" s="7">
        <f t="shared" si="7"/>
        <v>44957.148786940903</v>
      </c>
      <c r="I31" s="7">
        <f t="shared" si="8"/>
        <v>16923.809532741037</v>
      </c>
      <c r="J31" s="7">
        <f t="shared" si="9"/>
        <v>44957.148786940903</v>
      </c>
      <c r="K31" s="7">
        <f t="shared" si="10"/>
        <v>5000</v>
      </c>
      <c r="L31" s="7">
        <f t="shared" si="11"/>
        <v>0</v>
      </c>
      <c r="M31" s="7">
        <f t="shared" si="12"/>
        <v>5000</v>
      </c>
      <c r="N31" s="7">
        <f t="shared" si="13"/>
        <v>49957.148786940903</v>
      </c>
      <c r="O31" s="7">
        <f t="shared" si="14"/>
        <v>47997.825134930819</v>
      </c>
      <c r="P31" s="7">
        <v>0</v>
      </c>
      <c r="Q31" s="29">
        <v>28798.695080958481</v>
      </c>
      <c r="R31" s="29">
        <v>19199.130053972338</v>
      </c>
      <c r="S31" s="7">
        <v>0</v>
      </c>
      <c r="T31" s="7">
        <f t="shared" si="15"/>
        <v>19934.443572318709</v>
      </c>
      <c r="U31" s="7">
        <f t="shared" si="16"/>
        <v>0</v>
      </c>
      <c r="V31" s="7">
        <f t="shared" si="17"/>
        <v>32119.604291849937</v>
      </c>
      <c r="W31" s="7"/>
      <c r="X31" s="7"/>
      <c r="Y31" s="7">
        <f t="shared" si="18"/>
        <v>19271.762575109955</v>
      </c>
      <c r="Z31" s="7">
        <f t="shared" si="18"/>
        <v>12847.841716739978</v>
      </c>
      <c r="AA31" s="7">
        <f t="shared" si="19"/>
        <v>0</v>
      </c>
      <c r="AB31" s="7"/>
      <c r="AC31" s="7">
        <f t="shared" si="20"/>
        <v>569555.53063767729</v>
      </c>
      <c r="AD31" s="7">
        <f t="shared" si="21"/>
        <v>0</v>
      </c>
      <c r="AE31" s="7">
        <f t="shared" si="22"/>
        <v>1095750.058784195</v>
      </c>
      <c r="AF31" s="9">
        <f t="shared" si="23"/>
        <v>657450.03527051676</v>
      </c>
      <c r="AG31" s="56">
        <f t="shared" si="24"/>
        <v>438300.02351367823</v>
      </c>
      <c r="AH31" s="165">
        <f t="shared" si="25"/>
        <v>0.84</v>
      </c>
      <c r="AI31" s="56">
        <f t="shared" si="133"/>
        <v>1665305.5894218723</v>
      </c>
      <c r="AJ31" s="56">
        <f t="shared" si="26"/>
        <v>340354.58667037205</v>
      </c>
      <c r="AK31" s="56">
        <f t="shared" si="27"/>
        <v>0</v>
      </c>
      <c r="AL31" s="56">
        <f t="shared" si="167"/>
        <v>550029.9306452946</v>
      </c>
      <c r="AM31" s="9">
        <f t="shared" si="168"/>
        <v>890384.51731566666</v>
      </c>
      <c r="AN31" s="9">
        <f t="shared" si="28"/>
        <v>80117.429426780756</v>
      </c>
      <c r="AO31" s="9">
        <f t="shared" si="29"/>
        <v>48070.457656068436</v>
      </c>
      <c r="AP31" s="9">
        <f t="shared" si="30"/>
        <v>32046.971770712316</v>
      </c>
      <c r="AQ31" s="9">
        <f t="shared" si="134"/>
        <v>132530.44739256991</v>
      </c>
      <c r="AR31" s="9">
        <f t="shared" si="31"/>
        <v>25000</v>
      </c>
      <c r="AS31" s="9">
        <f t="shared" si="32"/>
        <v>34000</v>
      </c>
      <c r="AT31" s="9">
        <f t="shared" si="33"/>
        <v>80117.429426780756</v>
      </c>
      <c r="AU31" s="9">
        <f t="shared" si="135"/>
        <v>38213.576468899766</v>
      </c>
      <c r="AV31" s="9">
        <f t="shared" si="136"/>
        <v>110051.87299909946</v>
      </c>
      <c r="AW31" s="7">
        <f t="shared" si="137"/>
        <v>150009.02178604036</v>
      </c>
      <c r="AX31" s="7">
        <f t="shared" si="138"/>
        <v>143265.44946799922</v>
      </c>
      <c r="AY31" s="7">
        <f t="shared" si="34"/>
        <v>19934.443572318709</v>
      </c>
      <c r="AZ31" s="7">
        <f t="shared" si="139"/>
        <v>18265.44946799922</v>
      </c>
      <c r="BA31" s="7">
        <f t="shared" si="35"/>
        <v>694.08707978397035</v>
      </c>
      <c r="BB31" s="7">
        <f t="shared" si="36"/>
        <v>0</v>
      </c>
      <c r="BC31" s="7">
        <f t="shared" si="37"/>
        <v>0</v>
      </c>
      <c r="BD31" s="7">
        <f t="shared" si="38"/>
        <v>23216.411017591156</v>
      </c>
      <c r="BE31" s="7">
        <f t="shared" si="39"/>
        <v>33157.308043420133</v>
      </c>
      <c r="BF31" s="7">
        <f t="shared" si="140"/>
        <v>33157.308043420133</v>
      </c>
      <c r="BG31" s="7">
        <f t="shared" si="169"/>
        <v>120049.03845040806</v>
      </c>
      <c r="BH31" s="7">
        <f t="shared" si="172"/>
        <v>110108.14142457908</v>
      </c>
      <c r="BI31" s="7">
        <f t="shared" si="141"/>
        <v>120049.03845040806</v>
      </c>
      <c r="BJ31" s="7">
        <f t="shared" si="40"/>
        <v>19934.443572318709</v>
      </c>
      <c r="BK31" s="7">
        <f t="shared" si="41"/>
        <v>0</v>
      </c>
      <c r="BL31" s="7">
        <f t="shared" si="42"/>
        <v>5000</v>
      </c>
      <c r="BM31" s="7">
        <f t="shared" si="43"/>
        <v>80117.429426780756</v>
      </c>
      <c r="BN31" s="7">
        <f t="shared" si="44"/>
        <v>0</v>
      </c>
      <c r="BO31" s="7">
        <f t="shared" si="45"/>
        <v>0</v>
      </c>
      <c r="BP31" s="7">
        <f t="shared" si="142"/>
        <v>5100</v>
      </c>
      <c r="BQ31" s="7">
        <f t="shared" si="46"/>
        <v>5100</v>
      </c>
      <c r="BR31" s="7">
        <f t="shared" si="47"/>
        <v>0</v>
      </c>
      <c r="BS31" s="7">
        <f t="shared" si="48"/>
        <v>0</v>
      </c>
      <c r="BT31" s="7">
        <f t="shared" si="49"/>
        <v>99951.872999099462</v>
      </c>
      <c r="BU31" s="157">
        <f t="shared" si="50"/>
        <v>0.18975809762563295</v>
      </c>
      <c r="BV31" s="51">
        <f t="shared" si="51"/>
        <v>0</v>
      </c>
      <c r="BW31" s="51">
        <f t="shared" si="52"/>
        <v>1000000</v>
      </c>
      <c r="BX31" s="51">
        <f t="shared" si="53"/>
        <v>10000000000</v>
      </c>
      <c r="BY31" s="51">
        <f t="shared" si="54"/>
        <v>10000000000</v>
      </c>
      <c r="BZ31" s="51">
        <f t="shared" si="55"/>
        <v>10000000000</v>
      </c>
      <c r="CA31" s="51">
        <f t="shared" si="56"/>
        <v>10000000000</v>
      </c>
      <c r="CB31" s="51">
        <f t="shared" si="57"/>
        <v>10000000000</v>
      </c>
      <c r="CC31" s="51">
        <f t="shared" si="58"/>
        <v>10000000000</v>
      </c>
      <c r="CD31" s="51">
        <f t="shared" si="59"/>
        <v>10000000000</v>
      </c>
      <c r="CE31" s="51">
        <f t="shared" si="60"/>
        <v>10000000000</v>
      </c>
      <c r="CF31" s="51">
        <f t="shared" si="61"/>
        <v>10000000000</v>
      </c>
      <c r="CG31" s="51">
        <f t="shared" si="62"/>
        <v>10000000000</v>
      </c>
      <c r="CH31" s="51">
        <f t="shared" si="63"/>
        <v>0</v>
      </c>
      <c r="CI31" s="51">
        <f t="shared" si="64"/>
        <v>1000000</v>
      </c>
      <c r="CJ31" s="51">
        <f t="shared" si="65"/>
        <v>10000000000</v>
      </c>
      <c r="CK31" s="51">
        <f t="shared" si="66"/>
        <v>10000000000</v>
      </c>
      <c r="CL31" s="51">
        <f t="shared" si="67"/>
        <v>10000000000</v>
      </c>
      <c r="CM31" s="51">
        <f t="shared" si="68"/>
        <v>10000000000</v>
      </c>
      <c r="CN31" s="51">
        <f t="shared" si="69"/>
        <v>10000000000</v>
      </c>
      <c r="CO31" s="51">
        <f t="shared" si="70"/>
        <v>10000000000</v>
      </c>
      <c r="CP31" s="51">
        <f t="shared" si="71"/>
        <v>10000000000</v>
      </c>
      <c r="CQ31" s="51">
        <f t="shared" si="72"/>
        <v>10000000000</v>
      </c>
      <c r="CR31" s="51">
        <f t="shared" si="73"/>
        <v>10000000000</v>
      </c>
      <c r="CS31" s="51">
        <f t="shared" si="74"/>
        <v>10000000000</v>
      </c>
      <c r="CT31" s="7">
        <f t="shared" si="75"/>
        <v>50000</v>
      </c>
      <c r="CU31" s="7">
        <f t="shared" ref="CU31:CY38" si="175">IF(DG31=0, 0, CT31 + CJ31*DF31)</f>
        <v>0</v>
      </c>
      <c r="CV31" s="7">
        <f t="shared" si="175"/>
        <v>0</v>
      </c>
      <c r="CW31" s="7">
        <f t="shared" si="175"/>
        <v>0</v>
      </c>
      <c r="CX31" s="7">
        <f t="shared" si="175"/>
        <v>0</v>
      </c>
      <c r="CY31" s="7">
        <f t="shared" si="175"/>
        <v>0</v>
      </c>
      <c r="CZ31" s="7">
        <f t="shared" si="174"/>
        <v>0</v>
      </c>
      <c r="DA31" s="7">
        <f t="shared" si="174"/>
        <v>0</v>
      </c>
      <c r="DB31" s="7">
        <f t="shared" si="174"/>
        <v>0</v>
      </c>
      <c r="DC31" s="7">
        <f t="shared" si="174"/>
        <v>0</v>
      </c>
      <c r="DD31" s="7">
        <f t="shared" si="174"/>
        <v>0</v>
      </c>
      <c r="DE31" s="37">
        <f t="shared" si="77"/>
        <v>0.05</v>
      </c>
      <c r="DF31" s="37">
        <f t="shared" si="78"/>
        <v>0.09</v>
      </c>
      <c r="DG31" s="7">
        <f t="shared" si="79"/>
        <v>0</v>
      </c>
      <c r="DH31" s="7">
        <f t="shared" si="80"/>
        <v>0</v>
      </c>
      <c r="DI31" s="7">
        <f t="shared" si="81"/>
        <v>0</v>
      </c>
      <c r="DJ31" s="7">
        <f t="shared" si="82"/>
        <v>0</v>
      </c>
      <c r="DK31" s="7">
        <f t="shared" si="83"/>
        <v>0</v>
      </c>
      <c r="DL31" s="7">
        <f t="shared" si="84"/>
        <v>0</v>
      </c>
      <c r="DM31" s="7">
        <f t="shared" si="85"/>
        <v>0</v>
      </c>
      <c r="DN31" s="7">
        <f t="shared" si="86"/>
        <v>0</v>
      </c>
      <c r="DO31" s="7">
        <f t="shared" si="87"/>
        <v>0</v>
      </c>
      <c r="DP31" s="7">
        <f t="shared" si="88"/>
        <v>0</v>
      </c>
      <c r="DQ31" s="7">
        <f t="shared" si="89"/>
        <v>4997.5936499549734</v>
      </c>
      <c r="DR31" s="37">
        <f t="shared" si="90"/>
        <v>0.05</v>
      </c>
      <c r="DS31" s="7">
        <f t="shared" si="91"/>
        <v>948.3338637213991</v>
      </c>
      <c r="DT31" s="7" t="b">
        <f t="shared" si="92"/>
        <v>0</v>
      </c>
      <c r="DU31" s="7" t="b">
        <f t="shared" si="93"/>
        <v>0</v>
      </c>
      <c r="DV31" s="7" t="b">
        <f t="shared" si="94"/>
        <v>1</v>
      </c>
      <c r="DW31" s="7" t="b">
        <f t="shared" si="95"/>
        <v>1</v>
      </c>
      <c r="DX31" s="7" t="b">
        <f t="shared" si="96"/>
        <v>0</v>
      </c>
      <c r="DY31" s="207">
        <f t="shared" si="97"/>
        <v>0.59757928483164635</v>
      </c>
      <c r="DZ31" s="7">
        <f t="shared" si="98"/>
        <v>18544.241520458032</v>
      </c>
      <c r="EA31" s="36">
        <f t="shared" si="99"/>
        <v>0.22</v>
      </c>
      <c r="EB31" s="51">
        <f t="shared" si="170"/>
        <v>19238.328600242003</v>
      </c>
      <c r="EC31" s="7">
        <f t="shared" si="100"/>
        <v>18445.915603017631</v>
      </c>
      <c r="ED31" s="7">
        <f t="shared" si="101"/>
        <v>74976.286265713905</v>
      </c>
      <c r="EE31" s="7">
        <f t="shared" si="102"/>
        <v>159851.35051666788</v>
      </c>
      <c r="EF31" s="7">
        <f t="shared" si="103"/>
        <v>305232.19827579602</v>
      </c>
      <c r="EG31" s="7">
        <f t="shared" si="104"/>
        <v>387562.99830564414</v>
      </c>
      <c r="EH31" s="7">
        <f t="shared" si="105"/>
        <v>1844.5915603017631</v>
      </c>
      <c r="EI31" s="7">
        <f t="shared" si="106"/>
        <v>8628.2360398253168</v>
      </c>
      <c r="EJ31" s="7">
        <f t="shared" si="107"/>
        <v>27300.750175035195</v>
      </c>
      <c r="EK31" s="7">
        <f t="shared" si="108"/>
        <v>62192.153637225951</v>
      </c>
      <c r="EL31" s="7">
        <f t="shared" si="109"/>
        <v>88538.009646777355</v>
      </c>
      <c r="EM31" s="7">
        <f t="shared" si="110"/>
        <v>163787.00923369103</v>
      </c>
      <c r="EN31" s="7">
        <f t="shared" si="111"/>
        <v>205131.30282666159</v>
      </c>
      <c r="EO31" s="7">
        <f t="shared" si="112"/>
        <v>256016.58724877916</v>
      </c>
      <c r="EP31" s="7">
        <f t="shared" si="113"/>
        <v>306901.87167089677</v>
      </c>
      <c r="EQ31" s="7">
        <f t="shared" si="114"/>
        <v>795082.56909558747</v>
      </c>
      <c r="ER31" s="7">
        <f t="shared" si="115"/>
        <v>3320.2648085431729</v>
      </c>
      <c r="ES31" s="10">
        <f t="shared" si="116"/>
        <v>1</v>
      </c>
      <c r="ET31" s="16">
        <f t="shared" si="117"/>
        <v>1</v>
      </c>
      <c r="EU31" s="16">
        <f t="shared" si="118"/>
        <v>12</v>
      </c>
      <c r="EV31" s="7">
        <f t="shared" si="119"/>
        <v>0</v>
      </c>
      <c r="EW31" s="37">
        <f t="shared" si="143"/>
        <v>3.0056722840966207E-2</v>
      </c>
      <c r="EX31" s="7">
        <f t="shared" si="120"/>
        <v>24235.922250196978</v>
      </c>
      <c r="EY31" s="7">
        <f t="shared" si="171"/>
        <v>14482.885085508095</v>
      </c>
      <c r="EZ31" s="37">
        <f t="shared" si="121"/>
        <v>0.27</v>
      </c>
      <c r="FA31" s="37">
        <f t="shared" si="122"/>
        <v>0.1615630977499804</v>
      </c>
      <c r="FB31" s="7">
        <f t="shared" si="123"/>
        <v>73719.051671674737</v>
      </c>
      <c r="FC31" s="7">
        <f t="shared" si="173"/>
        <v>44052.978176426572</v>
      </c>
      <c r="FD31" s="7">
        <f t="shared" si="144"/>
        <v>6747.8068220862797</v>
      </c>
      <c r="FE31" s="7">
        <f t="shared" si="124"/>
        <v>44000</v>
      </c>
      <c r="FF31" s="7">
        <f t="shared" si="145"/>
        <v>26865.460820170061</v>
      </c>
      <c r="FG31" s="7">
        <f t="shared" si="146"/>
        <v>0</v>
      </c>
      <c r="FH31" s="7">
        <f t="shared" si="147"/>
        <v>2987.8964241582316</v>
      </c>
      <c r="FI31" s="7">
        <f t="shared" si="125"/>
        <v>4126.1660688692573</v>
      </c>
      <c r="FJ31" s="7">
        <f t="shared" si="148"/>
        <v>28682.506017606378</v>
      </c>
      <c r="FK31" s="7">
        <f t="shared" si="149"/>
        <v>0</v>
      </c>
      <c r="FL31" s="7">
        <f t="shared" si="150"/>
        <v>0</v>
      </c>
      <c r="FM31" s="7">
        <f t="shared" si="151"/>
        <v>414.77206074819088</v>
      </c>
      <c r="FN31" s="7">
        <f t="shared" si="152"/>
        <v>0</v>
      </c>
      <c r="FO31" s="7">
        <f t="shared" si="153"/>
        <v>0</v>
      </c>
      <c r="FP31" s="7">
        <f t="shared" si="154"/>
        <v>11081.654585540633</v>
      </c>
      <c r="FQ31" s="7">
        <f t="shared" si="155"/>
        <v>2986.4584392192701</v>
      </c>
      <c r="FR31" s="7">
        <f t="shared" si="156"/>
        <v>0</v>
      </c>
      <c r="FS31" s="7">
        <f t="shared" si="157"/>
        <v>22835.641697144551</v>
      </c>
      <c r="FT31" s="7">
        <f t="shared" si="158"/>
        <v>11912.410533463024</v>
      </c>
      <c r="FU31" s="7">
        <f t="shared" si="159"/>
        <v>0</v>
      </c>
      <c r="FV31" s="7">
        <f t="shared" si="160"/>
        <v>47876.516179405546</v>
      </c>
      <c r="FW31" s="7">
        <f t="shared" si="161"/>
        <v>11912.410533463024</v>
      </c>
      <c r="FX31" s="7">
        <f t="shared" si="162"/>
        <v>0</v>
      </c>
      <c r="FY31" s="7">
        <f t="shared" si="163"/>
        <v>2987.8964241582316</v>
      </c>
      <c r="FZ31" s="7">
        <f t="shared" si="164"/>
        <v>0</v>
      </c>
      <c r="GA31" s="7">
        <f t="shared" si="165"/>
        <v>0</v>
      </c>
      <c r="GB31" s="7">
        <f t="shared" si="166"/>
        <v>47876.516179405546</v>
      </c>
      <c r="GC31" s="7">
        <f t="shared" si="126"/>
        <v>2465.7113685314962</v>
      </c>
      <c r="GD31" s="7">
        <f t="shared" si="127"/>
        <v>1452786.4195670364</v>
      </c>
      <c r="GE31" s="7">
        <f t="shared" si="128"/>
        <v>2343170.9368827031</v>
      </c>
      <c r="GF31" s="7">
        <f t="shared" si="129"/>
        <v>173289.51189746973</v>
      </c>
      <c r="GG31" s="7">
        <f t="shared" si="130"/>
        <v>766113.90229594265</v>
      </c>
      <c r="GH31" s="7">
        <f t="shared" si="131"/>
        <v>0</v>
      </c>
      <c r="GI31" s="7">
        <f t="shared" si="132"/>
        <v>0</v>
      </c>
      <c r="GJ31" s="7">
        <v>2040222.4198552358</v>
      </c>
      <c r="GK31" s="7">
        <v>720150.03333333356</v>
      </c>
    </row>
    <row r="32" spans="1:193" x14ac:dyDescent="0.55000000000000004">
      <c r="A32" s="60">
        <f t="shared" si="0"/>
        <v>2052</v>
      </c>
      <c r="B32" s="60">
        <f t="shared" si="1"/>
        <v>89</v>
      </c>
      <c r="C32" s="60">
        <f t="shared" si="2"/>
        <v>89</v>
      </c>
      <c r="D32" s="7">
        <f t="shared" si="3"/>
        <v>0</v>
      </c>
      <c r="E32" s="7">
        <f t="shared" si="4"/>
        <v>5000</v>
      </c>
      <c r="F32" s="7">
        <f t="shared" si="5"/>
        <v>0</v>
      </c>
      <c r="G32" s="7">
        <f t="shared" si="6"/>
        <v>0</v>
      </c>
      <c r="H32" s="7">
        <f t="shared" si="7"/>
        <v>45766.377465105834</v>
      </c>
      <c r="I32" s="7">
        <f t="shared" si="8"/>
        <v>17228.438104330377</v>
      </c>
      <c r="J32" s="7">
        <f t="shared" si="9"/>
        <v>45766.377465105834</v>
      </c>
      <c r="K32" s="7">
        <f t="shared" si="10"/>
        <v>5000</v>
      </c>
      <c r="L32" s="7">
        <f t="shared" si="11"/>
        <v>0</v>
      </c>
      <c r="M32" s="7">
        <f t="shared" si="12"/>
        <v>5000</v>
      </c>
      <c r="N32" s="7">
        <f t="shared" si="13"/>
        <v>50766.377465105834</v>
      </c>
      <c r="O32" s="7">
        <f t="shared" si="14"/>
        <v>50769.978567014121</v>
      </c>
      <c r="P32" s="7">
        <v>0</v>
      </c>
      <c r="Q32" s="29">
        <v>30461.987140208461</v>
      </c>
      <c r="R32" s="29">
        <v>20307.99142680566</v>
      </c>
      <c r="S32" s="7">
        <v>0</v>
      </c>
      <c r="T32" s="7">
        <f t="shared" si="15"/>
        <v>22649.861015555114</v>
      </c>
      <c r="U32" s="7">
        <f t="shared" si="16"/>
        <v>0</v>
      </c>
      <c r="V32" s="7">
        <f t="shared" si="17"/>
        <v>34171.886455016509</v>
      </c>
      <c r="W32" s="7"/>
      <c r="X32" s="7"/>
      <c r="Y32" s="7">
        <f t="shared" si="18"/>
        <v>20503.131873009894</v>
      </c>
      <c r="Z32" s="7">
        <f t="shared" si="18"/>
        <v>13668.754582006608</v>
      </c>
      <c r="AA32" s="7">
        <f t="shared" si="19"/>
        <v>0</v>
      </c>
      <c r="AB32" s="7"/>
      <c r="AC32" s="7">
        <f t="shared" si="20"/>
        <v>647138.88615871745</v>
      </c>
      <c r="AD32" s="7">
        <f t="shared" si="21"/>
        <v>0</v>
      </c>
      <c r="AE32" s="7">
        <f t="shared" si="22"/>
        <v>1088750.8491063798</v>
      </c>
      <c r="AF32" s="9">
        <f t="shared" si="23"/>
        <v>653250.50946382747</v>
      </c>
      <c r="AG32" s="56">
        <f t="shared" si="24"/>
        <v>435500.33964255219</v>
      </c>
      <c r="AH32" s="165">
        <f t="shared" si="25"/>
        <v>0.84</v>
      </c>
      <c r="AI32" s="56">
        <f t="shared" si="133"/>
        <v>1735889.7352650971</v>
      </c>
      <c r="AJ32" s="56">
        <f t="shared" si="26"/>
        <v>379134.11056615162</v>
      </c>
      <c r="AK32" s="56">
        <f t="shared" si="27"/>
        <v>0</v>
      </c>
      <c r="AL32" s="56">
        <f t="shared" si="167"/>
        <v>535800.55016257265</v>
      </c>
      <c r="AM32" s="9">
        <f t="shared" si="168"/>
        <v>914934.66072872421</v>
      </c>
      <c r="AN32" s="9">
        <f t="shared" si="28"/>
        <v>84941.86502203063</v>
      </c>
      <c r="AO32" s="9">
        <f t="shared" si="29"/>
        <v>50965.119013218355</v>
      </c>
      <c r="AP32" s="9">
        <f t="shared" si="30"/>
        <v>33976.746008812268</v>
      </c>
      <c r="AQ32" s="9">
        <f t="shared" si="134"/>
        <v>140474.91477013865</v>
      </c>
      <c r="AR32" s="9">
        <f t="shared" si="31"/>
        <v>25000</v>
      </c>
      <c r="AS32" s="9">
        <f t="shared" si="32"/>
        <v>34000</v>
      </c>
      <c r="AT32" s="9">
        <f t="shared" si="33"/>
        <v>84941.86502203063</v>
      </c>
      <c r="AU32" s="9">
        <f t="shared" si="135"/>
        <v>38901.420845339955</v>
      </c>
      <c r="AV32" s="9">
        <f t="shared" si="136"/>
        <v>117591.72603758574</v>
      </c>
      <c r="AW32" s="7">
        <f t="shared" si="137"/>
        <v>158358.10350269158</v>
      </c>
      <c r="AX32" s="7">
        <f t="shared" si="138"/>
        <v>151493.14688292571</v>
      </c>
      <c r="AY32" s="7">
        <f t="shared" si="34"/>
        <v>22649.861015555114</v>
      </c>
      <c r="AZ32" s="7">
        <f t="shared" si="139"/>
        <v>22649.861015555114</v>
      </c>
      <c r="BA32" s="7">
        <f t="shared" si="35"/>
        <v>860.69471859109433</v>
      </c>
      <c r="BB32" s="7">
        <f t="shared" si="36"/>
        <v>0</v>
      </c>
      <c r="BC32" s="7">
        <f t="shared" si="37"/>
        <v>0</v>
      </c>
      <c r="BD32" s="7">
        <f t="shared" si="38"/>
        <v>23634.306415907795</v>
      </c>
      <c r="BE32" s="7">
        <f t="shared" si="39"/>
        <v>34041.175554426824</v>
      </c>
      <c r="BF32" s="7">
        <f t="shared" si="140"/>
        <v>34041.175554426824</v>
      </c>
      <c r="BG32" s="7">
        <f t="shared" si="169"/>
        <v>127858.84046701792</v>
      </c>
      <c r="BH32" s="7">
        <f t="shared" si="172"/>
        <v>117451.97132849888</v>
      </c>
      <c r="BI32" s="7">
        <f t="shared" si="141"/>
        <v>127858.84046701792</v>
      </c>
      <c r="BJ32" s="7">
        <f t="shared" si="40"/>
        <v>22649.861015555114</v>
      </c>
      <c r="BK32" s="7">
        <f t="shared" si="41"/>
        <v>0</v>
      </c>
      <c r="BL32" s="7">
        <f t="shared" si="42"/>
        <v>5000</v>
      </c>
      <c r="BM32" s="7">
        <f t="shared" si="43"/>
        <v>84941.86502203063</v>
      </c>
      <c r="BN32" s="7">
        <f t="shared" si="44"/>
        <v>0</v>
      </c>
      <c r="BO32" s="7">
        <f t="shared" si="45"/>
        <v>0</v>
      </c>
      <c r="BP32" s="7">
        <f t="shared" si="142"/>
        <v>5100</v>
      </c>
      <c r="BQ32" s="7">
        <f t="shared" si="46"/>
        <v>5100</v>
      </c>
      <c r="BR32" s="7">
        <f t="shared" si="47"/>
        <v>0</v>
      </c>
      <c r="BS32" s="7">
        <f t="shared" si="48"/>
        <v>0</v>
      </c>
      <c r="BT32" s="7">
        <f t="shared" si="49"/>
        <v>107491.72603758574</v>
      </c>
      <c r="BU32" s="157">
        <f t="shared" si="50"/>
        <v>0.20116807702187692</v>
      </c>
      <c r="BV32" s="51">
        <f t="shared" si="51"/>
        <v>0</v>
      </c>
      <c r="BW32" s="51">
        <f t="shared" si="52"/>
        <v>1000000</v>
      </c>
      <c r="BX32" s="51">
        <f t="shared" si="53"/>
        <v>10000000000</v>
      </c>
      <c r="BY32" s="51">
        <f t="shared" si="54"/>
        <v>10000000000</v>
      </c>
      <c r="BZ32" s="51">
        <f t="shared" si="55"/>
        <v>10000000000</v>
      </c>
      <c r="CA32" s="51">
        <f t="shared" si="56"/>
        <v>10000000000</v>
      </c>
      <c r="CB32" s="51">
        <f t="shared" si="57"/>
        <v>10000000000</v>
      </c>
      <c r="CC32" s="51">
        <f t="shared" si="58"/>
        <v>10000000000</v>
      </c>
      <c r="CD32" s="51">
        <f t="shared" si="59"/>
        <v>10000000000</v>
      </c>
      <c r="CE32" s="51">
        <f t="shared" si="60"/>
        <v>10000000000</v>
      </c>
      <c r="CF32" s="51">
        <f t="shared" si="61"/>
        <v>10000000000</v>
      </c>
      <c r="CG32" s="51">
        <f t="shared" si="62"/>
        <v>10000000000</v>
      </c>
      <c r="CH32" s="51">
        <f t="shared" si="63"/>
        <v>0</v>
      </c>
      <c r="CI32" s="51">
        <f t="shared" si="64"/>
        <v>1000000</v>
      </c>
      <c r="CJ32" s="51">
        <f t="shared" si="65"/>
        <v>10000000000</v>
      </c>
      <c r="CK32" s="51">
        <f t="shared" si="66"/>
        <v>10000000000</v>
      </c>
      <c r="CL32" s="51">
        <f t="shared" si="67"/>
        <v>10000000000</v>
      </c>
      <c r="CM32" s="51">
        <f t="shared" si="68"/>
        <v>10000000000</v>
      </c>
      <c r="CN32" s="51">
        <f t="shared" si="69"/>
        <v>10000000000</v>
      </c>
      <c r="CO32" s="51">
        <f t="shared" si="70"/>
        <v>10000000000</v>
      </c>
      <c r="CP32" s="51">
        <f t="shared" si="71"/>
        <v>10000000000</v>
      </c>
      <c r="CQ32" s="51">
        <f t="shared" si="72"/>
        <v>10000000000</v>
      </c>
      <c r="CR32" s="51">
        <f t="shared" si="73"/>
        <v>10000000000</v>
      </c>
      <c r="CS32" s="51">
        <f t="shared" si="74"/>
        <v>10000000000</v>
      </c>
      <c r="CT32" s="7">
        <f t="shared" si="75"/>
        <v>50000</v>
      </c>
      <c r="CU32" s="7">
        <f t="shared" si="175"/>
        <v>0</v>
      </c>
      <c r="CV32" s="7">
        <f t="shared" si="175"/>
        <v>0</v>
      </c>
      <c r="CW32" s="7">
        <f t="shared" si="175"/>
        <v>0</v>
      </c>
      <c r="CX32" s="7">
        <f t="shared" si="175"/>
        <v>0</v>
      </c>
      <c r="CY32" s="7">
        <f t="shared" si="175"/>
        <v>0</v>
      </c>
      <c r="CZ32" s="7">
        <f t="shared" si="174"/>
        <v>0</v>
      </c>
      <c r="DA32" s="7">
        <f t="shared" si="174"/>
        <v>0</v>
      </c>
      <c r="DB32" s="7">
        <f t="shared" si="174"/>
        <v>0</v>
      </c>
      <c r="DC32" s="7">
        <f t="shared" si="174"/>
        <v>0</v>
      </c>
      <c r="DD32" s="7">
        <f t="shared" si="174"/>
        <v>0</v>
      </c>
      <c r="DE32" s="37">
        <f t="shared" si="77"/>
        <v>0.05</v>
      </c>
      <c r="DF32" s="37">
        <f t="shared" si="78"/>
        <v>0.09</v>
      </c>
      <c r="DG32" s="7">
        <f t="shared" si="79"/>
        <v>0</v>
      </c>
      <c r="DH32" s="7">
        <f t="shared" si="80"/>
        <v>0</v>
      </c>
      <c r="DI32" s="7">
        <f t="shared" si="81"/>
        <v>0</v>
      </c>
      <c r="DJ32" s="7">
        <f t="shared" si="82"/>
        <v>0</v>
      </c>
      <c r="DK32" s="7">
        <f t="shared" si="83"/>
        <v>0</v>
      </c>
      <c r="DL32" s="7">
        <f t="shared" si="84"/>
        <v>0</v>
      </c>
      <c r="DM32" s="7">
        <f t="shared" si="85"/>
        <v>0</v>
      </c>
      <c r="DN32" s="7">
        <f t="shared" si="86"/>
        <v>0</v>
      </c>
      <c r="DO32" s="7">
        <f t="shared" si="87"/>
        <v>0</v>
      </c>
      <c r="DP32" s="7">
        <f t="shared" si="88"/>
        <v>0</v>
      </c>
      <c r="DQ32" s="7">
        <f t="shared" si="89"/>
        <v>5374.5863018792879</v>
      </c>
      <c r="DR32" s="37">
        <f t="shared" si="90"/>
        <v>0.05</v>
      </c>
      <c r="DS32" s="7">
        <f t="shared" si="91"/>
        <v>1081.1951911371773</v>
      </c>
      <c r="DT32" s="7" t="b">
        <f t="shared" si="92"/>
        <v>0</v>
      </c>
      <c r="DU32" s="7" t="b">
        <f t="shared" si="93"/>
        <v>0</v>
      </c>
      <c r="DV32" s="7" t="b">
        <f t="shared" si="94"/>
        <v>1</v>
      </c>
      <c r="DW32" s="7" t="b">
        <f t="shared" si="95"/>
        <v>1</v>
      </c>
      <c r="DX32" s="7" t="b">
        <f t="shared" si="96"/>
        <v>0</v>
      </c>
      <c r="DY32" s="207">
        <f t="shared" si="97"/>
        <v>0.58586204395259456</v>
      </c>
      <c r="DZ32" s="7">
        <f t="shared" si="98"/>
        <v>20120.800119216827</v>
      </c>
      <c r="EA32" s="36">
        <f t="shared" si="99"/>
        <v>0.22</v>
      </c>
      <c r="EB32" s="51">
        <f t="shared" si="170"/>
        <v>20981.494837807921</v>
      </c>
      <c r="EC32" s="7">
        <f t="shared" si="100"/>
        <v>18777.942083871949</v>
      </c>
      <c r="ED32" s="7">
        <f t="shared" si="101"/>
        <v>76325.859418496751</v>
      </c>
      <c r="EE32" s="7">
        <f t="shared" si="102"/>
        <v>162728.6748259679</v>
      </c>
      <c r="EF32" s="7">
        <f t="shared" si="103"/>
        <v>310726.37784476037</v>
      </c>
      <c r="EG32" s="7">
        <f t="shared" si="104"/>
        <v>394539.13227514573</v>
      </c>
      <c r="EH32" s="7">
        <f t="shared" si="105"/>
        <v>1877.7942083871949</v>
      </c>
      <c r="EI32" s="7">
        <f t="shared" si="106"/>
        <v>8783.5442885421708</v>
      </c>
      <c r="EJ32" s="7">
        <f t="shared" si="107"/>
        <v>27792.163678185825</v>
      </c>
      <c r="EK32" s="7">
        <f t="shared" si="108"/>
        <v>63311.612402696017</v>
      </c>
      <c r="EL32" s="7">
        <f t="shared" si="109"/>
        <v>90131.693820419343</v>
      </c>
      <c r="EM32" s="7">
        <f t="shared" si="110"/>
        <v>166735.17539989747</v>
      </c>
      <c r="EN32" s="7">
        <f t="shared" si="111"/>
        <v>208823.66627754149</v>
      </c>
      <c r="EO32" s="7">
        <f t="shared" si="112"/>
        <v>260624.88581925721</v>
      </c>
      <c r="EP32" s="7">
        <f t="shared" si="113"/>
        <v>312426.10536097293</v>
      </c>
      <c r="EQ32" s="7">
        <f t="shared" si="114"/>
        <v>809394.05533930811</v>
      </c>
      <c r="ER32" s="7">
        <f t="shared" si="115"/>
        <v>3380.0295750969508</v>
      </c>
      <c r="ES32" s="10">
        <f t="shared" si="116"/>
        <v>1</v>
      </c>
      <c r="ET32" s="16">
        <f t="shared" si="117"/>
        <v>1</v>
      </c>
      <c r="EU32" s="16">
        <f t="shared" si="118"/>
        <v>12</v>
      </c>
      <c r="EV32" s="7">
        <f t="shared" si="119"/>
        <v>0</v>
      </c>
      <c r="EW32" s="37">
        <f t="shared" si="143"/>
        <v>3.0486884142771318E-2</v>
      </c>
      <c r="EX32" s="7">
        <f t="shared" si="120"/>
        <v>26356.081139687209</v>
      </c>
      <c r="EY32" s="7">
        <f t="shared" si="171"/>
        <v>15441.027567077575</v>
      </c>
      <c r="EZ32" s="37">
        <f t="shared" si="121"/>
        <v>0.27</v>
      </c>
      <c r="FA32" s="37">
        <f t="shared" si="122"/>
        <v>0.16643342245658582</v>
      </c>
      <c r="FB32" s="7">
        <f t="shared" si="123"/>
        <v>75180.274892432732</v>
      </c>
      <c r="FC32" s="7">
        <f t="shared" si="173"/>
        <v>44045.269513398569</v>
      </c>
      <c r="FD32" s="7">
        <f t="shared" si="144"/>
        <v>7158.5990055239527</v>
      </c>
      <c r="FE32" s="7">
        <f t="shared" si="124"/>
        <v>44000</v>
      </c>
      <c r="FF32" s="7">
        <f t="shared" si="145"/>
        <v>26812.783446012869</v>
      </c>
      <c r="FG32" s="7">
        <f t="shared" si="146"/>
        <v>0</v>
      </c>
      <c r="FH32" s="7">
        <f t="shared" si="147"/>
        <v>2929.3102197629728</v>
      </c>
      <c r="FI32" s="7">
        <f t="shared" si="125"/>
        <v>4764.5174335436277</v>
      </c>
      <c r="FJ32" s="7">
        <f t="shared" si="148"/>
        <v>29744.203414700311</v>
      </c>
      <c r="FK32" s="7">
        <f t="shared" si="149"/>
        <v>0</v>
      </c>
      <c r="FL32" s="7">
        <f t="shared" si="150"/>
        <v>0</v>
      </c>
      <c r="FM32" s="7">
        <f t="shared" si="151"/>
        <v>504.24836705298173</v>
      </c>
      <c r="FN32" s="7">
        <f t="shared" si="152"/>
        <v>0</v>
      </c>
      <c r="FO32" s="7">
        <f t="shared" si="153"/>
        <v>0</v>
      </c>
      <c r="FP32" s="7">
        <f t="shared" si="154"/>
        <v>11788.013083805978</v>
      </c>
      <c r="FQ32" s="7">
        <f t="shared" si="155"/>
        <v>3148.7661162186159</v>
      </c>
      <c r="FR32" s="7">
        <f t="shared" si="156"/>
        <v>0</v>
      </c>
      <c r="FS32" s="7">
        <f t="shared" si="157"/>
        <v>22790.865929110936</v>
      </c>
      <c r="FT32" s="7">
        <f t="shared" si="158"/>
        <v>13269.693869815308</v>
      </c>
      <c r="FU32" s="7">
        <f t="shared" si="159"/>
        <v>0</v>
      </c>
      <c r="FV32" s="7">
        <f t="shared" si="160"/>
        <v>49764.21465895226</v>
      </c>
      <c r="FW32" s="7">
        <f t="shared" si="161"/>
        <v>13269.693869815308</v>
      </c>
      <c r="FX32" s="7">
        <f t="shared" si="162"/>
        <v>0</v>
      </c>
      <c r="FY32" s="7">
        <f t="shared" si="163"/>
        <v>2929.3102197629728</v>
      </c>
      <c r="FZ32" s="7">
        <f t="shared" si="164"/>
        <v>0</v>
      </c>
      <c r="GA32" s="7">
        <f t="shared" si="165"/>
        <v>0</v>
      </c>
      <c r="GB32" s="7">
        <f t="shared" si="166"/>
        <v>49764.21465895226</v>
      </c>
      <c r="GC32" s="7">
        <f t="shared" si="126"/>
        <v>2791.34992206364</v>
      </c>
      <c r="GD32" s="7">
        <f t="shared" si="127"/>
        <v>1496831.6890804351</v>
      </c>
      <c r="GE32" s="7">
        <f t="shared" si="128"/>
        <v>2411766.3498091595</v>
      </c>
      <c r="GF32" s="7">
        <f t="shared" si="129"/>
        <v>188730.5394645473</v>
      </c>
      <c r="GG32" s="7">
        <f t="shared" si="130"/>
        <v>792926.68574195553</v>
      </c>
      <c r="GH32" s="7">
        <f t="shared" si="131"/>
        <v>0</v>
      </c>
      <c r="GI32" s="7">
        <f t="shared" si="132"/>
        <v>0</v>
      </c>
      <c r="GJ32" s="7">
        <v>2091214.5760757911</v>
      </c>
      <c r="GK32" s="7">
        <v>746904.8333333336</v>
      </c>
    </row>
    <row r="33" spans="1:193" x14ac:dyDescent="0.55000000000000004">
      <c r="A33" s="60">
        <f t="shared" si="0"/>
        <v>2053</v>
      </c>
      <c r="B33" s="60">
        <f t="shared" si="1"/>
        <v>90</v>
      </c>
      <c r="C33" s="60">
        <f t="shared" si="2"/>
        <v>90</v>
      </c>
      <c r="D33" s="7">
        <f t="shared" si="3"/>
        <v>0</v>
      </c>
      <c r="E33" s="7">
        <f t="shared" si="4"/>
        <v>5000</v>
      </c>
      <c r="F33" s="7">
        <f t="shared" si="5"/>
        <v>0</v>
      </c>
      <c r="G33" s="7">
        <f t="shared" si="6"/>
        <v>0</v>
      </c>
      <c r="H33" s="7">
        <f t="shared" si="7"/>
        <v>46590.172259477731</v>
      </c>
      <c r="I33" s="7">
        <f t="shared" si="8"/>
        <v>17538.549990208321</v>
      </c>
      <c r="J33" s="7">
        <f t="shared" si="9"/>
        <v>46590.172259477731</v>
      </c>
      <c r="K33" s="7">
        <f t="shared" si="10"/>
        <v>5000</v>
      </c>
      <c r="L33" s="7">
        <f t="shared" si="11"/>
        <v>0</v>
      </c>
      <c r="M33" s="7">
        <f t="shared" si="12"/>
        <v>5000</v>
      </c>
      <c r="N33" s="7">
        <f t="shared" si="13"/>
        <v>51590.172259477731</v>
      </c>
      <c r="O33" s="7">
        <f t="shared" si="14"/>
        <v>53430.463887540245</v>
      </c>
      <c r="P33" s="7">
        <v>0</v>
      </c>
      <c r="Q33" s="29">
        <v>32058.278332524133</v>
      </c>
      <c r="R33" s="29">
        <v>21372.185555016113</v>
      </c>
      <c r="S33" s="7">
        <v>0</v>
      </c>
      <c r="T33" s="7">
        <f t="shared" si="15"/>
        <v>25625.725819999396</v>
      </c>
      <c r="U33" s="7">
        <f t="shared" si="16"/>
        <v>0</v>
      </c>
      <c r="V33" s="7">
        <f t="shared" si="17"/>
        <v>35811.408990031865</v>
      </c>
      <c r="W33" s="7"/>
      <c r="X33" s="7"/>
      <c r="Y33" s="7">
        <f t="shared" si="18"/>
        <v>21486.845394019103</v>
      </c>
      <c r="Z33" s="7">
        <f t="shared" si="18"/>
        <v>14324.563596012755</v>
      </c>
      <c r="AA33" s="7">
        <f t="shared" si="19"/>
        <v>0</v>
      </c>
      <c r="AB33" s="7"/>
      <c r="AC33" s="7">
        <f t="shared" si="20"/>
        <v>732163.59485712554</v>
      </c>
      <c r="AD33" s="7">
        <f t="shared" si="21"/>
        <v>0</v>
      </c>
      <c r="AE33" s="7">
        <f t="shared" si="22"/>
        <v>1076774.5897662095</v>
      </c>
      <c r="AF33" s="9">
        <f t="shared" si="23"/>
        <v>646064.75385972543</v>
      </c>
      <c r="AG33" s="56">
        <f t="shared" si="24"/>
        <v>430709.83590648416</v>
      </c>
      <c r="AH33" s="165">
        <f t="shared" si="25"/>
        <v>0.84</v>
      </c>
      <c r="AI33" s="56">
        <f t="shared" si="133"/>
        <v>1808938.184623335</v>
      </c>
      <c r="AJ33" s="56">
        <f t="shared" si="26"/>
        <v>420536.13744183804</v>
      </c>
      <c r="AK33" s="56">
        <f t="shared" si="27"/>
        <v>0</v>
      </c>
      <c r="AL33" s="56">
        <f t="shared" si="167"/>
        <v>519516.41579488642</v>
      </c>
      <c r="AM33" s="9">
        <f t="shared" si="168"/>
        <v>940052.55323672446</v>
      </c>
      <c r="AN33" s="9">
        <f t="shared" si="28"/>
        <v>89241.87287757211</v>
      </c>
      <c r="AO33" s="9">
        <f t="shared" si="29"/>
        <v>53545.123726543236</v>
      </c>
      <c r="AP33" s="9">
        <f t="shared" si="30"/>
        <v>35696.749151028867</v>
      </c>
      <c r="AQ33" s="9">
        <f t="shared" si="134"/>
        <v>148162.68482731038</v>
      </c>
      <c r="AR33" s="9">
        <f t="shared" si="31"/>
        <v>25000</v>
      </c>
      <c r="AS33" s="9">
        <f t="shared" si="32"/>
        <v>34000</v>
      </c>
      <c r="AT33" s="9">
        <f t="shared" si="33"/>
        <v>89241.87287757211</v>
      </c>
      <c r="AU33" s="9">
        <f t="shared" si="135"/>
        <v>39601.64642055607</v>
      </c>
      <c r="AV33" s="9">
        <f t="shared" si="136"/>
        <v>124867.59869757151</v>
      </c>
      <c r="AW33" s="7">
        <f t="shared" si="137"/>
        <v>166457.77095704922</v>
      </c>
      <c r="AX33" s="7">
        <f t="shared" si="138"/>
        <v>159469.24511812755</v>
      </c>
      <c r="AY33" s="7">
        <f t="shared" si="34"/>
        <v>25625.725819999396</v>
      </c>
      <c r="AZ33" s="7">
        <f t="shared" si="139"/>
        <v>25625.725819999396</v>
      </c>
      <c r="BA33" s="7">
        <f t="shared" si="35"/>
        <v>973.77758115997699</v>
      </c>
      <c r="BB33" s="7">
        <f t="shared" si="36"/>
        <v>0</v>
      </c>
      <c r="BC33" s="7">
        <f t="shared" si="37"/>
        <v>0</v>
      </c>
      <c r="BD33" s="7">
        <f t="shared" si="38"/>
        <v>24059.723931394132</v>
      </c>
      <c r="BE33" s="7">
        <f t="shared" si="39"/>
        <v>34920.96779397197</v>
      </c>
      <c r="BF33" s="7">
        <f t="shared" si="140"/>
        <v>34920.96779397197</v>
      </c>
      <c r="BG33" s="7">
        <f t="shared" si="169"/>
        <v>135409.52118673341</v>
      </c>
      <c r="BH33" s="7">
        <f t="shared" si="172"/>
        <v>124548.27732415558</v>
      </c>
      <c r="BI33" s="7">
        <f t="shared" si="141"/>
        <v>135409.52118673341</v>
      </c>
      <c r="BJ33" s="7">
        <f t="shared" si="40"/>
        <v>25625.725819999396</v>
      </c>
      <c r="BK33" s="7">
        <f t="shared" si="41"/>
        <v>0</v>
      </c>
      <c r="BL33" s="7">
        <f t="shared" si="42"/>
        <v>5000</v>
      </c>
      <c r="BM33" s="7">
        <f t="shared" si="43"/>
        <v>89241.87287757211</v>
      </c>
      <c r="BN33" s="7">
        <f t="shared" si="44"/>
        <v>0</v>
      </c>
      <c r="BO33" s="7">
        <f t="shared" si="45"/>
        <v>0</v>
      </c>
      <c r="BP33" s="7">
        <f t="shared" si="142"/>
        <v>5100</v>
      </c>
      <c r="BQ33" s="7">
        <f t="shared" si="46"/>
        <v>5100</v>
      </c>
      <c r="BR33" s="7">
        <f t="shared" si="47"/>
        <v>0</v>
      </c>
      <c r="BS33" s="7">
        <f t="shared" si="48"/>
        <v>0</v>
      </c>
      <c r="BT33" s="7">
        <f t="shared" si="49"/>
        <v>114767.59869757151</v>
      </c>
      <c r="BU33" s="157">
        <f t="shared" si="50"/>
        <v>0.2137835920502057</v>
      </c>
      <c r="BV33" s="51">
        <f t="shared" si="51"/>
        <v>0</v>
      </c>
      <c r="BW33" s="51">
        <f t="shared" si="52"/>
        <v>1000000</v>
      </c>
      <c r="BX33" s="51">
        <f t="shared" si="53"/>
        <v>10000000000</v>
      </c>
      <c r="BY33" s="51">
        <f t="shared" si="54"/>
        <v>10000000000</v>
      </c>
      <c r="BZ33" s="51">
        <f t="shared" si="55"/>
        <v>10000000000</v>
      </c>
      <c r="CA33" s="51">
        <f t="shared" si="56"/>
        <v>10000000000</v>
      </c>
      <c r="CB33" s="51">
        <f t="shared" si="57"/>
        <v>10000000000</v>
      </c>
      <c r="CC33" s="51">
        <f t="shared" si="58"/>
        <v>10000000000</v>
      </c>
      <c r="CD33" s="51">
        <f t="shared" si="59"/>
        <v>10000000000</v>
      </c>
      <c r="CE33" s="51">
        <f t="shared" si="60"/>
        <v>10000000000</v>
      </c>
      <c r="CF33" s="51">
        <f t="shared" si="61"/>
        <v>10000000000</v>
      </c>
      <c r="CG33" s="51">
        <f t="shared" si="62"/>
        <v>10000000000</v>
      </c>
      <c r="CH33" s="51">
        <f t="shared" si="63"/>
        <v>0</v>
      </c>
      <c r="CI33" s="51">
        <f t="shared" si="64"/>
        <v>1000000</v>
      </c>
      <c r="CJ33" s="51">
        <f t="shared" si="65"/>
        <v>10000000000</v>
      </c>
      <c r="CK33" s="51">
        <f t="shared" si="66"/>
        <v>10000000000</v>
      </c>
      <c r="CL33" s="51">
        <f t="shared" si="67"/>
        <v>10000000000</v>
      </c>
      <c r="CM33" s="51">
        <f t="shared" si="68"/>
        <v>10000000000</v>
      </c>
      <c r="CN33" s="51">
        <f t="shared" si="69"/>
        <v>10000000000</v>
      </c>
      <c r="CO33" s="51">
        <f t="shared" si="70"/>
        <v>10000000000</v>
      </c>
      <c r="CP33" s="51">
        <f t="shared" si="71"/>
        <v>10000000000</v>
      </c>
      <c r="CQ33" s="51">
        <f t="shared" si="72"/>
        <v>10000000000</v>
      </c>
      <c r="CR33" s="51">
        <f t="shared" si="73"/>
        <v>10000000000</v>
      </c>
      <c r="CS33" s="51">
        <f t="shared" si="74"/>
        <v>10000000000</v>
      </c>
      <c r="CT33" s="7">
        <f t="shared" si="75"/>
        <v>50000</v>
      </c>
      <c r="CU33" s="7">
        <f t="shared" si="175"/>
        <v>0</v>
      </c>
      <c r="CV33" s="7">
        <f t="shared" si="175"/>
        <v>0</v>
      </c>
      <c r="CW33" s="7">
        <f t="shared" si="175"/>
        <v>0</v>
      </c>
      <c r="CX33" s="7">
        <f t="shared" si="175"/>
        <v>0</v>
      </c>
      <c r="CY33" s="7">
        <f t="shared" si="175"/>
        <v>0</v>
      </c>
      <c r="CZ33" s="7">
        <f t="shared" si="174"/>
        <v>0</v>
      </c>
      <c r="DA33" s="7">
        <f t="shared" si="174"/>
        <v>0</v>
      </c>
      <c r="DB33" s="7">
        <f t="shared" si="174"/>
        <v>0</v>
      </c>
      <c r="DC33" s="7">
        <f t="shared" si="174"/>
        <v>0</v>
      </c>
      <c r="DD33" s="7">
        <f t="shared" si="174"/>
        <v>0</v>
      </c>
      <c r="DE33" s="37">
        <f t="shared" si="77"/>
        <v>0.05</v>
      </c>
      <c r="DF33" s="37">
        <f t="shared" si="78"/>
        <v>0.09</v>
      </c>
      <c r="DG33" s="7">
        <f t="shared" si="79"/>
        <v>0</v>
      </c>
      <c r="DH33" s="7">
        <f t="shared" si="80"/>
        <v>0</v>
      </c>
      <c r="DI33" s="7">
        <f t="shared" si="81"/>
        <v>0</v>
      </c>
      <c r="DJ33" s="7">
        <f t="shared" si="82"/>
        <v>0</v>
      </c>
      <c r="DK33" s="7">
        <f t="shared" si="83"/>
        <v>0</v>
      </c>
      <c r="DL33" s="7">
        <f t="shared" si="84"/>
        <v>0</v>
      </c>
      <c r="DM33" s="7">
        <f t="shared" si="85"/>
        <v>0</v>
      </c>
      <c r="DN33" s="7">
        <f t="shared" si="86"/>
        <v>0</v>
      </c>
      <c r="DO33" s="7">
        <f t="shared" si="87"/>
        <v>0</v>
      </c>
      <c r="DP33" s="7">
        <f t="shared" si="88"/>
        <v>0</v>
      </c>
      <c r="DQ33" s="7">
        <f t="shared" si="89"/>
        <v>5738.379934878576</v>
      </c>
      <c r="DR33" s="37">
        <f t="shared" si="90"/>
        <v>0.05</v>
      </c>
      <c r="DS33" s="7">
        <f t="shared" si="91"/>
        <v>1226.7714750271675</v>
      </c>
      <c r="DT33" s="7" t="b">
        <f t="shared" si="92"/>
        <v>0</v>
      </c>
      <c r="DU33" s="7" t="b">
        <f t="shared" si="93"/>
        <v>0</v>
      </c>
      <c r="DV33" s="7" t="b">
        <f t="shared" si="94"/>
        <v>1</v>
      </c>
      <c r="DW33" s="7" t="b">
        <f t="shared" si="95"/>
        <v>1</v>
      </c>
      <c r="DX33" s="7" t="b">
        <f t="shared" si="96"/>
        <v>0</v>
      </c>
      <c r="DY33" s="207">
        <f t="shared" si="97"/>
        <v>0.57437455289470041</v>
      </c>
      <c r="DZ33" s="7">
        <f t="shared" si="98"/>
        <v>21637.80327145075</v>
      </c>
      <c r="EA33" s="36">
        <f t="shared" si="99"/>
        <v>0.22</v>
      </c>
      <c r="EB33" s="51">
        <f t="shared" si="170"/>
        <v>22611.580852610728</v>
      </c>
      <c r="EC33" s="7">
        <f t="shared" si="100"/>
        <v>19115.945041381641</v>
      </c>
      <c r="ED33" s="7">
        <f t="shared" si="101"/>
        <v>77699.724888029683</v>
      </c>
      <c r="EE33" s="7">
        <f t="shared" si="102"/>
        <v>165657.7909728353</v>
      </c>
      <c r="EF33" s="7">
        <f t="shared" si="103"/>
        <v>316319.45264596603</v>
      </c>
      <c r="EG33" s="7">
        <f t="shared" si="104"/>
        <v>401640.83665609831</v>
      </c>
      <c r="EH33" s="7">
        <f t="shared" si="105"/>
        <v>1911.5945041381642</v>
      </c>
      <c r="EI33" s="7">
        <f t="shared" si="106"/>
        <v>8941.6480857359293</v>
      </c>
      <c r="EJ33" s="7">
        <f t="shared" si="107"/>
        <v>28292.422624393163</v>
      </c>
      <c r="EK33" s="7">
        <f t="shared" si="108"/>
        <v>64451.221425944539</v>
      </c>
      <c r="EL33" s="7">
        <f t="shared" si="109"/>
        <v>91754.06430918687</v>
      </c>
      <c r="EM33" s="7">
        <f t="shared" si="110"/>
        <v>169736.40855709559</v>
      </c>
      <c r="EN33" s="7">
        <f t="shared" si="111"/>
        <v>212582.49227053719</v>
      </c>
      <c r="EO33" s="7">
        <f t="shared" si="112"/>
        <v>265316.13376400381</v>
      </c>
      <c r="EP33" s="7">
        <f t="shared" si="113"/>
        <v>318049.77525747038</v>
      </c>
      <c r="EQ33" s="7">
        <f t="shared" si="114"/>
        <v>823963.14833541552</v>
      </c>
      <c r="ER33" s="7">
        <f t="shared" si="115"/>
        <v>3440.8701074486953</v>
      </c>
      <c r="ES33" s="10">
        <f t="shared" si="116"/>
        <v>1</v>
      </c>
      <c r="ET33" s="16">
        <f t="shared" si="117"/>
        <v>1</v>
      </c>
      <c r="EU33" s="16">
        <f t="shared" si="118"/>
        <v>12</v>
      </c>
      <c r="EV33" s="7">
        <f t="shared" si="119"/>
        <v>0</v>
      </c>
      <c r="EW33" s="37">
        <f t="shared" si="143"/>
        <v>3.0779872017263003E-2</v>
      </c>
      <c r="EX33" s="7">
        <f t="shared" si="120"/>
        <v>28349.960787489304</v>
      </c>
      <c r="EY33" s="7">
        <f t="shared" si="171"/>
        <v>16283.496051896458</v>
      </c>
      <c r="EZ33" s="37">
        <f t="shared" si="121"/>
        <v>0.27</v>
      </c>
      <c r="FA33" s="37">
        <f t="shared" si="122"/>
        <v>0.170313230944348</v>
      </c>
      <c r="FB33" s="7">
        <f t="shared" si="123"/>
        <v>76670.675359528657</v>
      </c>
      <c r="FC33" s="7">
        <f t="shared" si="173"/>
        <v>44037.684879763998</v>
      </c>
      <c r="FD33" s="7">
        <f t="shared" si="144"/>
        <v>7553.5360367479334</v>
      </c>
      <c r="FE33" s="7">
        <f t="shared" si="124"/>
        <v>44000</v>
      </c>
      <c r="FF33" s="7">
        <f t="shared" si="145"/>
        <v>26760.209360824596</v>
      </c>
      <c r="FG33" s="7">
        <f t="shared" si="146"/>
        <v>0</v>
      </c>
      <c r="FH33" s="7">
        <f t="shared" si="147"/>
        <v>2871.8727644735022</v>
      </c>
      <c r="FI33" s="7">
        <f t="shared" si="125"/>
        <v>5395.1554764011271</v>
      </c>
      <c r="FJ33" s="7">
        <f t="shared" si="148"/>
        <v>30689.098806362366</v>
      </c>
      <c r="FK33" s="7">
        <f t="shared" si="149"/>
        <v>0</v>
      </c>
      <c r="FL33" s="7">
        <f t="shared" si="150"/>
        <v>0</v>
      </c>
      <c r="FM33" s="7">
        <f t="shared" si="151"/>
        <v>559.31306279764465</v>
      </c>
      <c r="FN33" s="7">
        <f t="shared" si="152"/>
        <v>0</v>
      </c>
      <c r="FO33" s="7">
        <f t="shared" si="153"/>
        <v>0</v>
      </c>
      <c r="FP33" s="7">
        <f t="shared" si="154"/>
        <v>12428.20357966301</v>
      </c>
      <c r="FQ33" s="7">
        <f t="shared" si="155"/>
        <v>3295.9794094358022</v>
      </c>
      <c r="FR33" s="7">
        <f t="shared" si="156"/>
        <v>0</v>
      </c>
      <c r="FS33" s="7">
        <f t="shared" si="157"/>
        <v>22746.177956700907</v>
      </c>
      <c r="FT33" s="7">
        <f t="shared" si="158"/>
        <v>14718.764810464332</v>
      </c>
      <c r="FU33" s="7">
        <f t="shared" si="159"/>
        <v>0</v>
      </c>
      <c r="FV33" s="7">
        <f t="shared" si="160"/>
        <v>51258.260833541171</v>
      </c>
      <c r="FW33" s="7">
        <f t="shared" si="161"/>
        <v>14718.764810464332</v>
      </c>
      <c r="FX33" s="7">
        <f t="shared" si="162"/>
        <v>0</v>
      </c>
      <c r="FY33" s="7">
        <f t="shared" si="163"/>
        <v>2871.8727644735022</v>
      </c>
      <c r="FZ33" s="7">
        <f t="shared" si="164"/>
        <v>0</v>
      </c>
      <c r="GA33" s="7">
        <f t="shared" si="165"/>
        <v>0</v>
      </c>
      <c r="GB33" s="7">
        <f t="shared" si="166"/>
        <v>51258.260833541171</v>
      </c>
      <c r="GC33" s="7">
        <f t="shared" si="126"/>
        <v>3098.8400145552919</v>
      </c>
      <c r="GD33" s="7">
        <f t="shared" si="127"/>
        <v>1540869.3739601991</v>
      </c>
      <c r="GE33" s="7">
        <f t="shared" si="128"/>
        <v>2480921.9271969236</v>
      </c>
      <c r="GF33" s="7">
        <f t="shared" si="129"/>
        <v>205014.03551644375</v>
      </c>
      <c r="GG33" s="7">
        <f t="shared" si="130"/>
        <v>819686.89510278008</v>
      </c>
      <c r="GH33" s="7">
        <f t="shared" si="131"/>
        <v>0</v>
      </c>
      <c r="GI33" s="7">
        <f t="shared" si="132"/>
        <v>0</v>
      </c>
      <c r="GJ33" s="7">
        <v>2141725.2041858244</v>
      </c>
      <c r="GK33" s="7">
        <v>773659.63333333365</v>
      </c>
    </row>
    <row r="34" spans="1:193" x14ac:dyDescent="0.55000000000000004">
      <c r="A34" s="60">
        <f t="shared" si="0"/>
        <v>2054</v>
      </c>
      <c r="B34" s="60">
        <f t="shared" si="1"/>
        <v>91</v>
      </c>
      <c r="C34" s="60">
        <f t="shared" si="2"/>
        <v>91</v>
      </c>
      <c r="D34" s="7">
        <f t="shared" si="3"/>
        <v>0</v>
      </c>
      <c r="E34" s="7">
        <f t="shared" si="4"/>
        <v>5000</v>
      </c>
      <c r="F34" s="7">
        <f t="shared" si="5"/>
        <v>0</v>
      </c>
      <c r="G34" s="7">
        <f t="shared" si="6"/>
        <v>0</v>
      </c>
      <c r="H34" s="7">
        <f t="shared" si="7"/>
        <v>47428.795360148346</v>
      </c>
      <c r="I34" s="7">
        <f t="shared" si="8"/>
        <v>17854.243890032078</v>
      </c>
      <c r="J34" s="7">
        <f t="shared" si="9"/>
        <v>47428.795360148346</v>
      </c>
      <c r="K34" s="7">
        <f t="shared" si="10"/>
        <v>5000</v>
      </c>
      <c r="L34" s="7">
        <f t="shared" si="11"/>
        <v>0</v>
      </c>
      <c r="M34" s="7">
        <f t="shared" si="12"/>
        <v>5000</v>
      </c>
      <c r="N34" s="7">
        <f t="shared" si="13"/>
        <v>52428.795360148346</v>
      </c>
      <c r="O34" s="7">
        <f t="shared" si="14"/>
        <v>56216.81106789918</v>
      </c>
      <c r="P34" s="7">
        <v>0</v>
      </c>
      <c r="Q34" s="29">
        <v>33730.086640739493</v>
      </c>
      <c r="R34" s="29">
        <v>22486.724427159686</v>
      </c>
      <c r="S34" s="7">
        <v>0</v>
      </c>
      <c r="T34" s="7">
        <f t="shared" si="15"/>
        <v>28880.034610845134</v>
      </c>
      <c r="U34" s="7">
        <f t="shared" si="16"/>
        <v>0</v>
      </c>
      <c r="V34" s="7">
        <f t="shared" si="17"/>
        <v>37415.761955249487</v>
      </c>
      <c r="W34" s="7"/>
      <c r="X34" s="7"/>
      <c r="Y34" s="7">
        <f t="shared" si="18"/>
        <v>22449.457173149676</v>
      </c>
      <c r="Z34" s="7">
        <f t="shared" si="18"/>
        <v>14966.304782099804</v>
      </c>
      <c r="AA34" s="7">
        <f t="shared" si="19"/>
        <v>0</v>
      </c>
      <c r="AB34" s="7"/>
      <c r="AC34" s="7">
        <f t="shared" si="20"/>
        <v>825143.84602414665</v>
      </c>
      <c r="AD34" s="7">
        <f t="shared" si="21"/>
        <v>0</v>
      </c>
      <c r="AE34" s="7">
        <f t="shared" si="22"/>
        <v>1059358.9311839039</v>
      </c>
      <c r="AF34" s="9">
        <f t="shared" si="23"/>
        <v>635615.35871034209</v>
      </c>
      <c r="AG34" s="56">
        <f t="shared" si="24"/>
        <v>423743.57247356197</v>
      </c>
      <c r="AH34" s="165">
        <f t="shared" si="25"/>
        <v>0.84</v>
      </c>
      <c r="AI34" s="56">
        <f t="shared" si="133"/>
        <v>1884502.7772080507</v>
      </c>
      <c r="AJ34" s="56">
        <f t="shared" si="26"/>
        <v>464648.6545430714</v>
      </c>
      <c r="AK34" s="56">
        <f t="shared" si="27"/>
        <v>0</v>
      </c>
      <c r="AL34" s="56">
        <f t="shared" si="167"/>
        <v>501091.96319721622</v>
      </c>
      <c r="AM34" s="9">
        <f t="shared" si="168"/>
        <v>965740.61774028768</v>
      </c>
      <c r="AN34" s="9">
        <f t="shared" si="28"/>
        <v>93632.573023148667</v>
      </c>
      <c r="AO34" s="9">
        <f t="shared" si="29"/>
        <v>56179.54381388917</v>
      </c>
      <c r="AP34" s="9">
        <f t="shared" si="30"/>
        <v>37453.02920925949</v>
      </c>
      <c r="AQ34" s="9">
        <f t="shared" si="134"/>
        <v>156227.00531406797</v>
      </c>
      <c r="AR34" s="9">
        <f t="shared" si="31"/>
        <v>25000</v>
      </c>
      <c r="AS34" s="9">
        <f t="shared" si="32"/>
        <v>34000</v>
      </c>
      <c r="AT34" s="9">
        <f t="shared" si="33"/>
        <v>93632.573023148667</v>
      </c>
      <c r="AU34" s="9">
        <f>IF(AQ34&lt;AR34,0,MIN(0.85*J34,MIN(AS34-AR34,AQ34-AR34)*0.5*J34+IF(AQ34&gt;AS34,0.85*(AQ34-AS34),0)*J34))</f>
        <v>40314.476056126092</v>
      </c>
      <c r="AV34" s="9">
        <f t="shared" si="136"/>
        <v>132512.60763399379</v>
      </c>
      <c r="AW34" s="7">
        <f t="shared" si="137"/>
        <v>174941.40299414215</v>
      </c>
      <c r="AX34" s="7">
        <f t="shared" si="138"/>
        <v>167827.08369011991</v>
      </c>
      <c r="AY34" s="7">
        <f t="shared" si="34"/>
        <v>28880.034610845134</v>
      </c>
      <c r="AZ34" s="7">
        <f t="shared" si="139"/>
        <v>28880.034610845134</v>
      </c>
      <c r="BA34" s="7">
        <f t="shared" si="35"/>
        <v>1097.4413152121151</v>
      </c>
      <c r="BB34" s="7">
        <f t="shared" si="36"/>
        <v>0</v>
      </c>
      <c r="BC34" s="7">
        <f t="shared" si="37"/>
        <v>0</v>
      </c>
      <c r="BD34" s="7">
        <f t="shared" si="38"/>
        <v>24492.798962159231</v>
      </c>
      <c r="BE34" s="7">
        <f t="shared" si="39"/>
        <v>35828.504822256757</v>
      </c>
      <c r="BF34" s="7">
        <f t="shared" si="140"/>
        <v>35828.504822256757</v>
      </c>
      <c r="BG34" s="7">
        <f t="shared" si="169"/>
        <v>143334.28472796068</v>
      </c>
      <c r="BH34" s="7">
        <f t="shared" si="172"/>
        <v>131998.57886786317</v>
      </c>
      <c r="BI34" s="7">
        <f t="shared" si="141"/>
        <v>143334.28472796068</v>
      </c>
      <c r="BJ34" s="7">
        <f t="shared" si="40"/>
        <v>28880.034610845134</v>
      </c>
      <c r="BK34" s="7">
        <f t="shared" si="41"/>
        <v>0</v>
      </c>
      <c r="BL34" s="7">
        <f t="shared" si="42"/>
        <v>5000</v>
      </c>
      <c r="BM34" s="7">
        <f t="shared" si="43"/>
        <v>93632.573023148667</v>
      </c>
      <c r="BN34" s="7">
        <f t="shared" si="44"/>
        <v>0</v>
      </c>
      <c r="BO34" s="7">
        <f t="shared" si="45"/>
        <v>0</v>
      </c>
      <c r="BP34" s="7">
        <f t="shared" si="142"/>
        <v>5100</v>
      </c>
      <c r="BQ34" s="7">
        <f t="shared" si="46"/>
        <v>5100</v>
      </c>
      <c r="BR34" s="7">
        <f t="shared" si="47"/>
        <v>0</v>
      </c>
      <c r="BS34" s="7">
        <f t="shared" si="48"/>
        <v>0</v>
      </c>
      <c r="BT34" s="7">
        <f t="shared" si="49"/>
        <v>122412.6076339938</v>
      </c>
      <c r="BU34" s="157">
        <f t="shared" si="50"/>
        <v>0.22648767950649262</v>
      </c>
      <c r="BV34" s="51">
        <f t="shared" si="51"/>
        <v>0</v>
      </c>
      <c r="BW34" s="51">
        <f t="shared" si="52"/>
        <v>1000000</v>
      </c>
      <c r="BX34" s="51">
        <f t="shared" si="53"/>
        <v>10000000000</v>
      </c>
      <c r="BY34" s="51">
        <f t="shared" si="54"/>
        <v>10000000000</v>
      </c>
      <c r="BZ34" s="51">
        <f t="shared" si="55"/>
        <v>10000000000</v>
      </c>
      <c r="CA34" s="51">
        <f t="shared" si="56"/>
        <v>10000000000</v>
      </c>
      <c r="CB34" s="51">
        <f t="shared" si="57"/>
        <v>10000000000</v>
      </c>
      <c r="CC34" s="51">
        <f t="shared" si="58"/>
        <v>10000000000</v>
      </c>
      <c r="CD34" s="51">
        <f t="shared" si="59"/>
        <v>10000000000</v>
      </c>
      <c r="CE34" s="51">
        <f t="shared" si="60"/>
        <v>10000000000</v>
      </c>
      <c r="CF34" s="51">
        <f t="shared" si="61"/>
        <v>10000000000</v>
      </c>
      <c r="CG34" s="51">
        <f t="shared" si="62"/>
        <v>10000000000</v>
      </c>
      <c r="CH34" s="51">
        <f t="shared" si="63"/>
        <v>0</v>
      </c>
      <c r="CI34" s="51">
        <f t="shared" si="64"/>
        <v>1000000</v>
      </c>
      <c r="CJ34" s="51">
        <f t="shared" si="65"/>
        <v>10000000000</v>
      </c>
      <c r="CK34" s="51">
        <f t="shared" si="66"/>
        <v>10000000000</v>
      </c>
      <c r="CL34" s="51">
        <f t="shared" si="67"/>
        <v>10000000000</v>
      </c>
      <c r="CM34" s="51">
        <f t="shared" si="68"/>
        <v>10000000000</v>
      </c>
      <c r="CN34" s="51">
        <f t="shared" si="69"/>
        <v>10000000000</v>
      </c>
      <c r="CO34" s="51">
        <f t="shared" si="70"/>
        <v>10000000000</v>
      </c>
      <c r="CP34" s="51">
        <f t="shared" si="71"/>
        <v>10000000000</v>
      </c>
      <c r="CQ34" s="51">
        <f t="shared" si="72"/>
        <v>10000000000</v>
      </c>
      <c r="CR34" s="51">
        <f t="shared" si="73"/>
        <v>10000000000</v>
      </c>
      <c r="CS34" s="51">
        <f t="shared" si="74"/>
        <v>10000000000</v>
      </c>
      <c r="CT34" s="7">
        <f t="shared" si="75"/>
        <v>50000</v>
      </c>
      <c r="CU34" s="7">
        <f t="shared" si="175"/>
        <v>0</v>
      </c>
      <c r="CV34" s="7">
        <f t="shared" si="175"/>
        <v>0</v>
      </c>
      <c r="CW34" s="7">
        <f t="shared" si="175"/>
        <v>0</v>
      </c>
      <c r="CX34" s="7">
        <f t="shared" si="175"/>
        <v>0</v>
      </c>
      <c r="CY34" s="7">
        <f t="shared" si="175"/>
        <v>0</v>
      </c>
      <c r="CZ34" s="7">
        <f t="shared" si="174"/>
        <v>0</v>
      </c>
      <c r="DA34" s="7">
        <f t="shared" si="174"/>
        <v>0</v>
      </c>
      <c r="DB34" s="7">
        <f t="shared" si="174"/>
        <v>0</v>
      </c>
      <c r="DC34" s="7">
        <f t="shared" si="174"/>
        <v>0</v>
      </c>
      <c r="DD34" s="7">
        <f t="shared" si="174"/>
        <v>0</v>
      </c>
      <c r="DE34" s="37">
        <f t="shared" si="77"/>
        <v>0.05</v>
      </c>
      <c r="DF34" s="37">
        <f t="shared" si="78"/>
        <v>0.09</v>
      </c>
      <c r="DG34" s="7">
        <f t="shared" si="79"/>
        <v>0</v>
      </c>
      <c r="DH34" s="7">
        <f t="shared" si="80"/>
        <v>0</v>
      </c>
      <c r="DI34" s="7">
        <f t="shared" si="81"/>
        <v>0</v>
      </c>
      <c r="DJ34" s="7">
        <f t="shared" si="82"/>
        <v>0</v>
      </c>
      <c r="DK34" s="7">
        <f t="shared" si="83"/>
        <v>0</v>
      </c>
      <c r="DL34" s="7">
        <f t="shared" si="84"/>
        <v>0</v>
      </c>
      <c r="DM34" s="7">
        <f t="shared" si="85"/>
        <v>0</v>
      </c>
      <c r="DN34" s="7">
        <f t="shared" si="86"/>
        <v>0</v>
      </c>
      <c r="DO34" s="7">
        <f t="shared" si="87"/>
        <v>0</v>
      </c>
      <c r="DP34" s="7">
        <f t="shared" si="88"/>
        <v>0</v>
      </c>
      <c r="DQ34" s="7">
        <f t="shared" si="89"/>
        <v>6120.6303816996906</v>
      </c>
      <c r="DR34" s="37">
        <f t="shared" si="90"/>
        <v>0.05</v>
      </c>
      <c r="DS34" s="7">
        <f t="shared" si="91"/>
        <v>1386.2473722681011</v>
      </c>
      <c r="DT34" s="7" t="b">
        <f t="shared" si="92"/>
        <v>0</v>
      </c>
      <c r="DU34" s="7" t="b">
        <f t="shared" si="93"/>
        <v>0</v>
      </c>
      <c r="DV34" s="7" t="b">
        <f t="shared" si="94"/>
        <v>1</v>
      </c>
      <c r="DW34" s="7" t="b">
        <f t="shared" si="95"/>
        <v>1</v>
      </c>
      <c r="DX34" s="7" t="b">
        <f t="shared" si="96"/>
        <v>0</v>
      </c>
      <c r="DY34" s="207">
        <f t="shared" si="97"/>
        <v>0.56311230675951029</v>
      </c>
      <c r="DZ34" s="7">
        <f t="shared" si="98"/>
        <v>23234.510005507396</v>
      </c>
      <c r="EA34" s="36">
        <f t="shared" si="99"/>
        <v>0.22</v>
      </c>
      <c r="EB34" s="51">
        <f t="shared" si="170"/>
        <v>24331.951320719512</v>
      </c>
      <c r="EC34" s="7">
        <f t="shared" si="100"/>
        <v>19460.032052126513</v>
      </c>
      <c r="ED34" s="7">
        <f t="shared" si="101"/>
        <v>79098.319936014232</v>
      </c>
      <c r="EE34" s="7">
        <f t="shared" si="102"/>
        <v>168639.63121034636</v>
      </c>
      <c r="EF34" s="7">
        <f t="shared" si="103"/>
        <v>322013.20279359346</v>
      </c>
      <c r="EG34" s="7">
        <f t="shared" si="104"/>
        <v>408870.37171590817</v>
      </c>
      <c r="EH34" s="7">
        <f t="shared" si="105"/>
        <v>1946.0032052126514</v>
      </c>
      <c r="EI34" s="7">
        <f t="shared" si="106"/>
        <v>9102.5977512791778</v>
      </c>
      <c r="EJ34" s="7">
        <f t="shared" si="107"/>
        <v>28801.686231632244</v>
      </c>
      <c r="EK34" s="7">
        <f t="shared" si="108"/>
        <v>65611.343411611539</v>
      </c>
      <c r="EL34" s="7">
        <f t="shared" si="109"/>
        <v>93405.637466752247</v>
      </c>
      <c r="EM34" s="7">
        <f t="shared" si="110"/>
        <v>172791.66391112335</v>
      </c>
      <c r="EN34" s="7">
        <f t="shared" si="111"/>
        <v>216408.97713140692</v>
      </c>
      <c r="EO34" s="7">
        <f t="shared" si="112"/>
        <v>270091.82417175593</v>
      </c>
      <c r="EP34" s="7">
        <f t="shared" si="113"/>
        <v>323774.67121210491</v>
      </c>
      <c r="EQ34" s="7">
        <f t="shared" si="114"/>
        <v>838794.48500545323</v>
      </c>
      <c r="ER34" s="7">
        <f t="shared" si="115"/>
        <v>3502.8057693827727</v>
      </c>
      <c r="ES34" s="10">
        <f t="shared" si="116"/>
        <v>1.4</v>
      </c>
      <c r="ET34" s="16">
        <f t="shared" si="117"/>
        <v>1</v>
      </c>
      <c r="EU34" s="16">
        <f t="shared" si="118"/>
        <v>12</v>
      </c>
      <c r="EV34" s="7">
        <f t="shared" si="119"/>
        <v>0</v>
      </c>
      <c r="EW34" s="37">
        <f t="shared" si="143"/>
        <v>3.1077242741495276E-2</v>
      </c>
      <c r="EX34" s="7">
        <f t="shared" si="120"/>
        <v>30452.581702419204</v>
      </c>
      <c r="EY34" s="7">
        <f t="shared" si="171"/>
        <v>17148.223529231735</v>
      </c>
      <c r="EZ34" s="37">
        <f t="shared" si="121"/>
        <v>0.27</v>
      </c>
      <c r="FA34" s="37">
        <f t="shared" si="122"/>
        <v>0.17407303920752767</v>
      </c>
      <c r="FB34" s="7">
        <f t="shared" si="123"/>
        <v>78193.024725628318</v>
      </c>
      <c r="FC34" s="7">
        <f t="shared" si="173"/>
        <v>44031.454525751986</v>
      </c>
      <c r="FD34" s="7">
        <f t="shared" si="144"/>
        <v>7970.1086614103615</v>
      </c>
      <c r="FE34" s="7">
        <f t="shared" si="124"/>
        <v>44000</v>
      </c>
      <c r="FF34" s="7">
        <f t="shared" si="145"/>
        <v>26707.738362077893</v>
      </c>
      <c r="FG34" s="7">
        <f t="shared" si="146"/>
        <v>0</v>
      </c>
      <c r="FH34" s="7">
        <f t="shared" si="147"/>
        <v>2815.5615337975514</v>
      </c>
      <c r="FI34" s="7">
        <f t="shared" si="125"/>
        <v>6088.1753981236297</v>
      </c>
      <c r="FJ34" s="7">
        <f t="shared" si="148"/>
        <v>31656.378159108277</v>
      </c>
      <c r="FK34" s="7">
        <f t="shared" si="149"/>
        <v>0</v>
      </c>
      <c r="FL34" s="7">
        <f t="shared" si="150"/>
        <v>0</v>
      </c>
      <c r="FM34" s="7">
        <f t="shared" si="151"/>
        <v>617.98271054228496</v>
      </c>
      <c r="FN34" s="7">
        <f t="shared" si="152"/>
        <v>0</v>
      </c>
      <c r="FO34" s="7">
        <f t="shared" si="153"/>
        <v>0</v>
      </c>
      <c r="FP34" s="7">
        <f t="shared" si="154"/>
        <v>13083.638525628192</v>
      </c>
      <c r="FQ34" s="7">
        <f t="shared" si="155"/>
        <v>3446.6022930612548</v>
      </c>
      <c r="FR34" s="7">
        <f t="shared" si="156"/>
        <v>0</v>
      </c>
      <c r="FS34" s="7">
        <f t="shared" si="157"/>
        <v>22701.577607766209</v>
      </c>
      <c r="FT34" s="7">
        <f t="shared" si="158"/>
        <v>16262.702909007499</v>
      </c>
      <c r="FU34" s="7">
        <f t="shared" si="159"/>
        <v>0</v>
      </c>
      <c r="FV34" s="7">
        <f t="shared" si="160"/>
        <v>52725.654182893537</v>
      </c>
      <c r="FW34" s="7">
        <f t="shared" si="161"/>
        <v>16262.702909007499</v>
      </c>
      <c r="FX34" s="7">
        <f t="shared" si="162"/>
        <v>0</v>
      </c>
      <c r="FY34" s="7">
        <f t="shared" si="163"/>
        <v>2815.5615337975514</v>
      </c>
      <c r="FZ34" s="7">
        <f t="shared" si="164"/>
        <v>0</v>
      </c>
      <c r="GA34" s="7">
        <f t="shared" si="165"/>
        <v>0</v>
      </c>
      <c r="GB34" s="7">
        <f t="shared" si="166"/>
        <v>52725.654182893537</v>
      </c>
      <c r="GC34" s="7">
        <f t="shared" si="126"/>
        <v>3428.3264923938973</v>
      </c>
      <c r="GD34" s="7">
        <f t="shared" si="127"/>
        <v>1584900.8284859511</v>
      </c>
      <c r="GE34" s="7">
        <f t="shared" si="128"/>
        <v>2550641.4462262387</v>
      </c>
      <c r="GF34" s="7">
        <f t="shared" si="129"/>
        <v>222162.25904567548</v>
      </c>
      <c r="GG34" s="7">
        <f t="shared" si="130"/>
        <v>846394.63346485794</v>
      </c>
      <c r="GH34" s="7">
        <f t="shared" si="131"/>
        <v>0</v>
      </c>
      <c r="GI34" s="7">
        <f t="shared" si="132"/>
        <v>0</v>
      </c>
      <c r="GJ34" s="7">
        <v>2191672.0873339158</v>
      </c>
      <c r="GK34" s="7">
        <v>800414.4333333337</v>
      </c>
    </row>
    <row r="35" spans="1:193" x14ac:dyDescent="0.55000000000000004">
      <c r="A35" s="60">
        <f t="shared" si="0"/>
        <v>2055</v>
      </c>
      <c r="B35" s="60">
        <f t="shared" si="1"/>
        <v>92</v>
      </c>
      <c r="C35" s="60">
        <f t="shared" si="2"/>
        <v>92</v>
      </c>
      <c r="D35" s="7">
        <f t="shared" si="3"/>
        <v>0</v>
      </c>
      <c r="E35" s="7">
        <f t="shared" si="4"/>
        <v>5000</v>
      </c>
      <c r="F35" s="7">
        <f t="shared" si="5"/>
        <v>0</v>
      </c>
      <c r="G35" s="7">
        <f t="shared" si="6"/>
        <v>0</v>
      </c>
      <c r="H35" s="7">
        <f t="shared" si="7"/>
        <v>48282.51367663101</v>
      </c>
      <c r="I35" s="7">
        <f t="shared" si="8"/>
        <v>18175.620280052652</v>
      </c>
      <c r="J35" s="7">
        <f t="shared" si="9"/>
        <v>48282.51367663101</v>
      </c>
      <c r="K35" s="7">
        <f t="shared" si="10"/>
        <v>5000</v>
      </c>
      <c r="L35" s="7">
        <f t="shared" si="11"/>
        <v>0</v>
      </c>
      <c r="M35" s="7">
        <f t="shared" si="12"/>
        <v>5000</v>
      </c>
      <c r="N35" s="7">
        <f t="shared" si="13"/>
        <v>53282.51367663101</v>
      </c>
      <c r="O35" s="7">
        <f t="shared" si="14"/>
        <v>59125.541857365846</v>
      </c>
      <c r="P35" s="7">
        <v>0</v>
      </c>
      <c r="Q35" s="29">
        <v>35475.325114419487</v>
      </c>
      <c r="R35" s="29">
        <v>23650.216742946359</v>
      </c>
      <c r="S35" s="7">
        <v>0</v>
      </c>
      <c r="T35" s="7">
        <f t="shared" si="15"/>
        <v>32431.328260641974</v>
      </c>
      <c r="U35" s="7">
        <f t="shared" si="16"/>
        <v>0</v>
      </c>
      <c r="V35" s="7">
        <f t="shared" si="17"/>
        <v>38963.248067069704</v>
      </c>
      <c r="W35" s="7"/>
      <c r="X35" s="7"/>
      <c r="Y35" s="7">
        <f t="shared" si="18"/>
        <v>23377.948840241814</v>
      </c>
      <c r="Z35" s="7">
        <f t="shared" si="18"/>
        <v>15585.299226827898</v>
      </c>
      <c r="AA35" s="7">
        <f t="shared" si="19"/>
        <v>0</v>
      </c>
      <c r="AB35" s="7"/>
      <c r="AC35" s="7">
        <f t="shared" si="20"/>
        <v>926609.37887548492</v>
      </c>
      <c r="AD35" s="7">
        <f t="shared" si="21"/>
        <v>0</v>
      </c>
      <c r="AE35" s="7">
        <f t="shared" si="22"/>
        <v>1036033.4169398734</v>
      </c>
      <c r="AF35" s="9">
        <f t="shared" si="23"/>
        <v>621620.05016392365</v>
      </c>
      <c r="AG35" s="56">
        <f t="shared" si="24"/>
        <v>414413.36677594972</v>
      </c>
      <c r="AH35" s="165">
        <f t="shared" si="25"/>
        <v>0.84</v>
      </c>
      <c r="AI35" s="56">
        <f t="shared" si="133"/>
        <v>1962642.7958153584</v>
      </c>
      <c r="AJ35" s="56">
        <f t="shared" si="26"/>
        <v>511554.06353291305</v>
      </c>
      <c r="AK35" s="56">
        <f t="shared" si="27"/>
        <v>0</v>
      </c>
      <c r="AL35" s="56">
        <f t="shared" si="167"/>
        <v>480449.66718242894</v>
      </c>
      <c r="AM35" s="9">
        <f t="shared" si="168"/>
        <v>992003.73071534198</v>
      </c>
      <c r="AN35" s="9">
        <f t="shared" si="28"/>
        <v>98088.78992443555</v>
      </c>
      <c r="AO35" s="9">
        <f t="shared" si="29"/>
        <v>58853.273954661301</v>
      </c>
      <c r="AP35" s="9">
        <f t="shared" si="30"/>
        <v>39235.515969774257</v>
      </c>
      <c r="AQ35" s="9">
        <f t="shared" si="134"/>
        <v>164661.37502339305</v>
      </c>
      <c r="AR35" s="9">
        <f t="shared" si="31"/>
        <v>25000</v>
      </c>
      <c r="AS35" s="9">
        <f t="shared" si="32"/>
        <v>34000</v>
      </c>
      <c r="AT35" s="9">
        <f t="shared" si="33"/>
        <v>98088.78992443555</v>
      </c>
      <c r="AU35" s="9">
        <f t="shared" si="135"/>
        <v>41040.136625136358</v>
      </c>
      <c r="AV35" s="9">
        <f t="shared" si="136"/>
        <v>140520.11818507753</v>
      </c>
      <c r="AW35" s="7">
        <f t="shared" si="137"/>
        <v>183802.63186170853</v>
      </c>
      <c r="AX35" s="7">
        <f t="shared" si="138"/>
        <v>176560.2548102139</v>
      </c>
      <c r="AY35" s="7">
        <f t="shared" si="34"/>
        <v>32431.328260641974</v>
      </c>
      <c r="AZ35" s="7">
        <f t="shared" si="139"/>
        <v>32431.328260641974</v>
      </c>
      <c r="BA35" s="7">
        <f t="shared" si="35"/>
        <v>1232.3904739043951</v>
      </c>
      <c r="BB35" s="7">
        <f t="shared" si="36"/>
        <v>0</v>
      </c>
      <c r="BC35" s="7">
        <f t="shared" si="37"/>
        <v>0</v>
      </c>
      <c r="BD35" s="7">
        <f t="shared" si="38"/>
        <v>24933.669343478097</v>
      </c>
      <c r="BE35" s="7">
        <f t="shared" si="39"/>
        <v>36763.62208974098</v>
      </c>
      <c r="BF35" s="7">
        <f t="shared" si="140"/>
        <v>36763.62208974098</v>
      </c>
      <c r="BG35" s="7">
        <f t="shared" si="169"/>
        <v>151626.58546673579</v>
      </c>
      <c r="BH35" s="7">
        <f t="shared" si="172"/>
        <v>139796.63272047293</v>
      </c>
      <c r="BI35" s="7">
        <f t="shared" si="141"/>
        <v>151626.58546673579</v>
      </c>
      <c r="BJ35" s="7">
        <f t="shared" si="40"/>
        <v>32431.328260641974</v>
      </c>
      <c r="BK35" s="7">
        <f t="shared" si="41"/>
        <v>0</v>
      </c>
      <c r="BL35" s="7">
        <f t="shared" si="42"/>
        <v>5000</v>
      </c>
      <c r="BM35" s="7">
        <f t="shared" si="43"/>
        <v>98088.78992443555</v>
      </c>
      <c r="BN35" s="7">
        <f t="shared" si="44"/>
        <v>0</v>
      </c>
      <c r="BO35" s="7">
        <f t="shared" si="45"/>
        <v>0</v>
      </c>
      <c r="BP35" s="7">
        <f t="shared" si="142"/>
        <v>5100</v>
      </c>
      <c r="BQ35" s="7">
        <f t="shared" si="46"/>
        <v>5100</v>
      </c>
      <c r="BR35" s="7">
        <f t="shared" si="47"/>
        <v>0</v>
      </c>
      <c r="BS35" s="7">
        <f t="shared" si="48"/>
        <v>0</v>
      </c>
      <c r="BT35" s="7">
        <f t="shared" si="49"/>
        <v>130420.11818507753</v>
      </c>
      <c r="BU35" s="157">
        <f t="shared" si="50"/>
        <v>0.23931006477098152</v>
      </c>
      <c r="BV35" s="51">
        <f t="shared" si="51"/>
        <v>0</v>
      </c>
      <c r="BW35" s="51">
        <f t="shared" si="52"/>
        <v>1000000</v>
      </c>
      <c r="BX35" s="51">
        <f t="shared" si="53"/>
        <v>10000000000</v>
      </c>
      <c r="BY35" s="51">
        <f t="shared" si="54"/>
        <v>10000000000</v>
      </c>
      <c r="BZ35" s="51">
        <f t="shared" si="55"/>
        <v>10000000000</v>
      </c>
      <c r="CA35" s="51">
        <f t="shared" si="56"/>
        <v>10000000000</v>
      </c>
      <c r="CB35" s="51">
        <f t="shared" si="57"/>
        <v>10000000000</v>
      </c>
      <c r="CC35" s="51">
        <f t="shared" si="58"/>
        <v>10000000000</v>
      </c>
      <c r="CD35" s="51">
        <f t="shared" si="59"/>
        <v>10000000000</v>
      </c>
      <c r="CE35" s="51">
        <f t="shared" si="60"/>
        <v>10000000000</v>
      </c>
      <c r="CF35" s="51">
        <f t="shared" si="61"/>
        <v>10000000000</v>
      </c>
      <c r="CG35" s="51">
        <f t="shared" si="62"/>
        <v>10000000000</v>
      </c>
      <c r="CH35" s="51">
        <f t="shared" si="63"/>
        <v>0</v>
      </c>
      <c r="CI35" s="51">
        <f t="shared" si="64"/>
        <v>1000000</v>
      </c>
      <c r="CJ35" s="51">
        <f t="shared" si="65"/>
        <v>10000000000</v>
      </c>
      <c r="CK35" s="51">
        <f t="shared" si="66"/>
        <v>10000000000</v>
      </c>
      <c r="CL35" s="51">
        <f t="shared" si="67"/>
        <v>10000000000</v>
      </c>
      <c r="CM35" s="51">
        <f t="shared" si="68"/>
        <v>10000000000</v>
      </c>
      <c r="CN35" s="51">
        <f t="shared" si="69"/>
        <v>10000000000</v>
      </c>
      <c r="CO35" s="51">
        <f t="shared" si="70"/>
        <v>10000000000</v>
      </c>
      <c r="CP35" s="51">
        <f t="shared" si="71"/>
        <v>10000000000</v>
      </c>
      <c r="CQ35" s="51">
        <f t="shared" si="72"/>
        <v>10000000000</v>
      </c>
      <c r="CR35" s="51">
        <f t="shared" si="73"/>
        <v>10000000000</v>
      </c>
      <c r="CS35" s="51">
        <f t="shared" si="74"/>
        <v>10000000000</v>
      </c>
      <c r="CT35" s="7">
        <f t="shared" si="75"/>
        <v>50000</v>
      </c>
      <c r="CU35" s="7">
        <f t="shared" si="175"/>
        <v>0</v>
      </c>
      <c r="CV35" s="7">
        <f t="shared" si="175"/>
        <v>0</v>
      </c>
      <c r="CW35" s="7">
        <f t="shared" si="175"/>
        <v>0</v>
      </c>
      <c r="CX35" s="7">
        <f t="shared" si="175"/>
        <v>0</v>
      </c>
      <c r="CY35" s="7">
        <f t="shared" si="175"/>
        <v>0</v>
      </c>
      <c r="CZ35" s="7">
        <f t="shared" si="174"/>
        <v>0</v>
      </c>
      <c r="DA35" s="7">
        <f t="shared" si="174"/>
        <v>0</v>
      </c>
      <c r="DB35" s="7">
        <f t="shared" si="174"/>
        <v>0</v>
      </c>
      <c r="DC35" s="7">
        <f t="shared" si="174"/>
        <v>0</v>
      </c>
      <c r="DD35" s="7">
        <f t="shared" si="174"/>
        <v>0</v>
      </c>
      <c r="DE35" s="37">
        <f t="shared" si="77"/>
        <v>0.05</v>
      </c>
      <c r="DF35" s="37">
        <f t="shared" si="78"/>
        <v>0.09</v>
      </c>
      <c r="DG35" s="7">
        <f t="shared" si="79"/>
        <v>0</v>
      </c>
      <c r="DH35" s="7">
        <f t="shared" si="80"/>
        <v>0</v>
      </c>
      <c r="DI35" s="7">
        <f t="shared" si="81"/>
        <v>0</v>
      </c>
      <c r="DJ35" s="7">
        <f t="shared" si="82"/>
        <v>0</v>
      </c>
      <c r="DK35" s="7">
        <f t="shared" si="83"/>
        <v>0</v>
      </c>
      <c r="DL35" s="7">
        <f t="shared" si="84"/>
        <v>0</v>
      </c>
      <c r="DM35" s="7">
        <f t="shared" si="85"/>
        <v>0</v>
      </c>
      <c r="DN35" s="7">
        <f t="shared" si="86"/>
        <v>0</v>
      </c>
      <c r="DO35" s="7">
        <f t="shared" si="87"/>
        <v>0</v>
      </c>
      <c r="DP35" s="7">
        <f t="shared" si="88"/>
        <v>0</v>
      </c>
      <c r="DQ35" s="7">
        <f t="shared" si="89"/>
        <v>6521.0059092538768</v>
      </c>
      <c r="DR35" s="37">
        <f t="shared" si="90"/>
        <v>0.05</v>
      </c>
      <c r="DS35" s="7">
        <f t="shared" si="91"/>
        <v>1560.5423465154984</v>
      </c>
      <c r="DT35" s="7" t="b">
        <f t="shared" si="92"/>
        <v>0</v>
      </c>
      <c r="DU35" s="7" t="b">
        <f t="shared" si="93"/>
        <v>0</v>
      </c>
      <c r="DV35" s="7" t="b">
        <f t="shared" si="94"/>
        <v>1</v>
      </c>
      <c r="DW35" s="7" t="b">
        <f t="shared" si="95"/>
        <v>1</v>
      </c>
      <c r="DX35" s="7" t="b">
        <f t="shared" si="96"/>
        <v>0</v>
      </c>
      <c r="DY35" s="207">
        <f t="shared" si="97"/>
        <v>0.55207088897991197</v>
      </c>
      <c r="DZ35" s="7">
        <f t="shared" si="98"/>
        <v>24909.433580614328</v>
      </c>
      <c r="EA35" s="36">
        <f t="shared" si="99"/>
        <v>0.22</v>
      </c>
      <c r="EB35" s="51">
        <f t="shared" si="170"/>
        <v>26141.824054518722</v>
      </c>
      <c r="EC35" s="7">
        <f t="shared" si="100"/>
        <v>19810.312629064789</v>
      </c>
      <c r="ED35" s="7">
        <f t="shared" si="101"/>
        <v>80522.089694862487</v>
      </c>
      <c r="EE35" s="7">
        <f t="shared" si="102"/>
        <v>171675.14457213259</v>
      </c>
      <c r="EF35" s="7">
        <f t="shared" si="103"/>
        <v>327809.44044387812</v>
      </c>
      <c r="EG35" s="7">
        <f t="shared" si="104"/>
        <v>416230.03840679448</v>
      </c>
      <c r="EH35" s="7">
        <f t="shared" si="105"/>
        <v>1981.031262906479</v>
      </c>
      <c r="EI35" s="7">
        <f t="shared" si="106"/>
        <v>9266.444510802201</v>
      </c>
      <c r="EJ35" s="7">
        <f t="shared" si="107"/>
        <v>29320.116583801624</v>
      </c>
      <c r="EK35" s="7">
        <f t="shared" si="108"/>
        <v>66792.34759302056</v>
      </c>
      <c r="EL35" s="7">
        <f t="shared" si="109"/>
        <v>95086.9389411538</v>
      </c>
      <c r="EM35" s="7">
        <f t="shared" si="110"/>
        <v>175901.91386152356</v>
      </c>
      <c r="EN35" s="7">
        <f t="shared" si="111"/>
        <v>220304.33871977223</v>
      </c>
      <c r="EO35" s="7">
        <f t="shared" si="112"/>
        <v>274953.4770068475</v>
      </c>
      <c r="EP35" s="7">
        <f t="shared" si="113"/>
        <v>329602.61529392278</v>
      </c>
      <c r="EQ35" s="7">
        <f t="shared" si="114"/>
        <v>853892.78573555127</v>
      </c>
      <c r="ER35" s="7">
        <f t="shared" si="115"/>
        <v>3565.8562732316618</v>
      </c>
      <c r="ES35" s="10">
        <f t="shared" si="116"/>
        <v>1.4</v>
      </c>
      <c r="ET35" s="16">
        <f t="shared" si="117"/>
        <v>1</v>
      </c>
      <c r="EU35" s="16">
        <f t="shared" si="118"/>
        <v>12</v>
      </c>
      <c r="EV35" s="7">
        <f t="shared" si="119"/>
        <v>0</v>
      </c>
      <c r="EW35" s="37">
        <f t="shared" si="143"/>
        <v>3.1374611156032454E-2</v>
      </c>
      <c r="EX35" s="7">
        <f t="shared" si="120"/>
        <v>32662.829963772598</v>
      </c>
      <c r="EY35" s="7">
        <f t="shared" si="171"/>
        <v>18032.197574699643</v>
      </c>
      <c r="EZ35" s="37">
        <f t="shared" si="121"/>
        <v>0.27</v>
      </c>
      <c r="FA35" s="37">
        <f t="shared" si="122"/>
        <v>0.17770599709555748</v>
      </c>
      <c r="FB35" s="7">
        <f t="shared" si="123"/>
        <v>79745.225570224255</v>
      </c>
      <c r="FC35" s="7">
        <f t="shared" si="173"/>
        <v>44025.017572457313</v>
      </c>
      <c r="FD35" s="7">
        <f t="shared" si="144"/>
        <v>8409.0685592706031</v>
      </c>
      <c r="FE35" s="7">
        <f t="shared" si="124"/>
        <v>44000</v>
      </c>
      <c r="FF35" s="7">
        <f t="shared" si="145"/>
        <v>26655.370247642441</v>
      </c>
      <c r="FG35" s="7">
        <f t="shared" si="146"/>
        <v>0</v>
      </c>
      <c r="FH35" s="7">
        <f t="shared" si="147"/>
        <v>2760.3544448995599</v>
      </c>
      <c r="FI35" s="7">
        <f t="shared" si="125"/>
        <v>6848.0537940534887</v>
      </c>
      <c r="FJ35" s="7">
        <f t="shared" si="148"/>
        <v>32641.490454614959</v>
      </c>
      <c r="FK35" s="7">
        <f t="shared" si="149"/>
        <v>0</v>
      </c>
      <c r="FL35" s="7">
        <f t="shared" si="150"/>
        <v>0</v>
      </c>
      <c r="FM35" s="7">
        <f t="shared" si="151"/>
        <v>680.36690449877437</v>
      </c>
      <c r="FN35" s="7">
        <f t="shared" si="152"/>
        <v>0</v>
      </c>
      <c r="FO35" s="7">
        <f t="shared" si="153"/>
        <v>0</v>
      </c>
      <c r="FP35" s="7">
        <f t="shared" si="154"/>
        <v>13751.773140835823</v>
      </c>
      <c r="FQ35" s="7">
        <f t="shared" si="155"/>
        <v>3600.0575293650468</v>
      </c>
      <c r="FR35" s="7">
        <f t="shared" si="156"/>
        <v>0</v>
      </c>
      <c r="FS35" s="7">
        <f t="shared" si="157"/>
        <v>22657.064710496074</v>
      </c>
      <c r="FT35" s="7">
        <f t="shared" si="158"/>
        <v>17904.392223651957</v>
      </c>
      <c r="FU35" s="7">
        <f t="shared" si="159"/>
        <v>0</v>
      </c>
      <c r="FV35" s="7">
        <f t="shared" si="160"/>
        <v>54151.965452546967</v>
      </c>
      <c r="FW35" s="7">
        <f t="shared" si="161"/>
        <v>17904.392223651957</v>
      </c>
      <c r="FX35" s="7">
        <f t="shared" si="162"/>
        <v>0</v>
      </c>
      <c r="FY35" s="7">
        <f t="shared" si="163"/>
        <v>2760.3544448995599</v>
      </c>
      <c r="FZ35" s="7">
        <f t="shared" si="164"/>
        <v>0</v>
      </c>
      <c r="GA35" s="7">
        <f t="shared" si="165"/>
        <v>0</v>
      </c>
      <c r="GB35" s="7">
        <f t="shared" si="166"/>
        <v>54151.965452546967</v>
      </c>
      <c r="GC35" s="7">
        <f t="shared" si="126"/>
        <v>3780.6111458653686</v>
      </c>
      <c r="GD35" s="7">
        <f t="shared" si="127"/>
        <v>1628925.8460584083</v>
      </c>
      <c r="GE35" s="7">
        <f t="shared" si="128"/>
        <v>2620929.5767737501</v>
      </c>
      <c r="GF35" s="7">
        <f t="shared" si="129"/>
        <v>240194.45662037513</v>
      </c>
      <c r="GG35" s="7">
        <f t="shared" si="130"/>
        <v>873050.00371250033</v>
      </c>
      <c r="GH35" s="7">
        <f t="shared" si="131"/>
        <v>0</v>
      </c>
      <c r="GI35" s="7">
        <f t="shared" si="132"/>
        <v>0</v>
      </c>
      <c r="GJ35" s="7">
        <v>2240957.7301476281</v>
      </c>
      <c r="GK35" s="7">
        <v>827169.23333333374</v>
      </c>
    </row>
    <row r="36" spans="1:193" x14ac:dyDescent="0.55000000000000004">
      <c r="A36" s="60">
        <f t="shared" si="0"/>
        <v>2056</v>
      </c>
      <c r="B36" s="60">
        <f t="shared" si="1"/>
        <v>93</v>
      </c>
      <c r="C36" s="60">
        <f t="shared" si="2"/>
        <v>93</v>
      </c>
      <c r="D36" s="7">
        <f t="shared" si="3"/>
        <v>0</v>
      </c>
      <c r="E36" s="7">
        <f t="shared" si="4"/>
        <v>5000</v>
      </c>
      <c r="F36" s="7">
        <f t="shared" si="5"/>
        <v>0</v>
      </c>
      <c r="G36" s="7">
        <f t="shared" si="6"/>
        <v>0</v>
      </c>
      <c r="H36" s="7">
        <f t="shared" si="7"/>
        <v>49151.598922810372</v>
      </c>
      <c r="I36" s="7">
        <f t="shared" si="8"/>
        <v>18502.781445093602</v>
      </c>
      <c r="J36" s="7">
        <f t="shared" si="9"/>
        <v>49151.598922810372</v>
      </c>
      <c r="K36" s="7">
        <f t="shared" si="10"/>
        <v>5000</v>
      </c>
      <c r="L36" s="7">
        <f t="shared" si="11"/>
        <v>0</v>
      </c>
      <c r="M36" s="7">
        <f t="shared" si="12"/>
        <v>5000</v>
      </c>
      <c r="N36" s="7">
        <f t="shared" si="13"/>
        <v>54151.598922810372</v>
      </c>
      <c r="O36" s="7">
        <f t="shared" si="14"/>
        <v>63743.783526260624</v>
      </c>
      <c r="P36" s="7">
        <v>0</v>
      </c>
      <c r="Q36" s="29">
        <v>38246.27011575635</v>
      </c>
      <c r="R36" s="29">
        <v>25497.513410504274</v>
      </c>
      <c r="S36" s="7">
        <v>0</v>
      </c>
      <c r="T36" s="7">
        <f t="shared" si="15"/>
        <v>36240.718688035216</v>
      </c>
      <c r="U36" s="7">
        <f t="shared" si="16"/>
        <v>0</v>
      </c>
      <c r="V36" s="7">
        <f t="shared" si="17"/>
        <v>38833.782507390206</v>
      </c>
      <c r="W36" s="7"/>
      <c r="X36" s="7"/>
      <c r="Y36" s="7">
        <f t="shared" si="18"/>
        <v>23300.269504434109</v>
      </c>
      <c r="Z36" s="7">
        <f t="shared" si="18"/>
        <v>15533.513002956097</v>
      </c>
      <c r="AA36" s="7">
        <f t="shared" si="19"/>
        <v>0</v>
      </c>
      <c r="AB36" s="7"/>
      <c r="AC36" s="7">
        <f t="shared" si="20"/>
        <v>1035449.1053724346</v>
      </c>
      <c r="AD36" s="7">
        <f t="shared" si="21"/>
        <v>0</v>
      </c>
      <c r="AE36" s="7">
        <f t="shared" si="22"/>
        <v>1006326.9538165282</v>
      </c>
      <c r="AF36" s="9">
        <f t="shared" si="23"/>
        <v>603796.17228991655</v>
      </c>
      <c r="AG36" s="56">
        <f t="shared" si="24"/>
        <v>402530.78152661159</v>
      </c>
      <c r="AH36" s="165">
        <f t="shared" si="25"/>
        <v>0.84</v>
      </c>
      <c r="AI36" s="56">
        <f t="shared" si="133"/>
        <v>2041776.0591889629</v>
      </c>
      <c r="AJ36" s="56">
        <f t="shared" si="26"/>
        <v>560432.65499648498</v>
      </c>
      <c r="AK36" s="56">
        <f t="shared" si="27"/>
        <v>0</v>
      </c>
      <c r="AL36" s="56">
        <f t="shared" si="167"/>
        <v>457523.142586537</v>
      </c>
      <c r="AM36" s="9">
        <f t="shared" si="168"/>
        <v>1017955.7975830219</v>
      </c>
      <c r="AN36" s="9">
        <f t="shared" si="28"/>
        <v>102577.56603365083</v>
      </c>
      <c r="AO36" s="9">
        <f t="shared" si="29"/>
        <v>61546.539620190459</v>
      </c>
      <c r="AP36" s="9">
        <f t="shared" si="30"/>
        <v>41031.026413460371</v>
      </c>
      <c r="AQ36" s="9">
        <f t="shared" si="134"/>
        <v>173394.08418309124</v>
      </c>
      <c r="AR36" s="9">
        <f t="shared" si="31"/>
        <v>25000</v>
      </c>
      <c r="AS36" s="9">
        <f t="shared" si="32"/>
        <v>34000</v>
      </c>
      <c r="AT36" s="9">
        <f t="shared" si="33"/>
        <v>102577.56603365083</v>
      </c>
      <c r="AU36" s="9">
        <f t="shared" si="135"/>
        <v>41778.859084388816</v>
      </c>
      <c r="AV36" s="9">
        <f t="shared" si="136"/>
        <v>148818.28472168604</v>
      </c>
      <c r="AW36" s="7">
        <f t="shared" si="137"/>
        <v>192969.88364449644</v>
      </c>
      <c r="AX36" s="7">
        <f t="shared" si="138"/>
        <v>185597.14380607486</v>
      </c>
      <c r="AY36" s="7">
        <f t="shared" si="34"/>
        <v>36240.718688035216</v>
      </c>
      <c r="AZ36" s="7">
        <f t="shared" si="139"/>
        <v>36240.718688035216</v>
      </c>
      <c r="BA36" s="7">
        <f t="shared" si="35"/>
        <v>1377.1473101453382</v>
      </c>
      <c r="BB36" s="7">
        <f t="shared" si="36"/>
        <v>0</v>
      </c>
      <c r="BC36" s="7">
        <f t="shared" si="37"/>
        <v>0</v>
      </c>
      <c r="BD36" s="7">
        <f t="shared" si="38"/>
        <v>25382.475391660704</v>
      </c>
      <c r="BE36" s="7">
        <f t="shared" si="39"/>
        <v>37722.897507820169</v>
      </c>
      <c r="BF36" s="7">
        <f t="shared" si="140"/>
        <v>37722.897507820169</v>
      </c>
      <c r="BG36" s="7">
        <f t="shared" si="169"/>
        <v>160214.66841441416</v>
      </c>
      <c r="BH36" s="7">
        <f t="shared" si="172"/>
        <v>147874.2462982547</v>
      </c>
      <c r="BI36" s="7">
        <f t="shared" si="141"/>
        <v>160214.66841441416</v>
      </c>
      <c r="BJ36" s="7">
        <f t="shared" si="40"/>
        <v>36240.718688035216</v>
      </c>
      <c r="BK36" s="7">
        <f t="shared" si="41"/>
        <v>0</v>
      </c>
      <c r="BL36" s="7">
        <f t="shared" si="42"/>
        <v>5000</v>
      </c>
      <c r="BM36" s="7">
        <f t="shared" si="43"/>
        <v>102577.56603365083</v>
      </c>
      <c r="BN36" s="7">
        <f t="shared" si="44"/>
        <v>0</v>
      </c>
      <c r="BO36" s="7">
        <f t="shared" si="45"/>
        <v>0</v>
      </c>
      <c r="BP36" s="7">
        <f t="shared" si="142"/>
        <v>5100</v>
      </c>
      <c r="BQ36" s="7">
        <f t="shared" si="46"/>
        <v>5100</v>
      </c>
      <c r="BR36" s="7">
        <f t="shared" si="47"/>
        <v>0</v>
      </c>
      <c r="BS36" s="7">
        <f t="shared" si="48"/>
        <v>0</v>
      </c>
      <c r="BT36" s="7">
        <f t="shared" si="49"/>
        <v>138718.28472168604</v>
      </c>
      <c r="BU36" s="157">
        <f t="shared" si="50"/>
        <v>0.25198964622730313</v>
      </c>
      <c r="BV36" s="51">
        <f t="shared" si="51"/>
        <v>0</v>
      </c>
      <c r="BW36" s="51">
        <f t="shared" si="52"/>
        <v>1000000</v>
      </c>
      <c r="BX36" s="51">
        <f t="shared" si="53"/>
        <v>10000000000</v>
      </c>
      <c r="BY36" s="51">
        <f t="shared" si="54"/>
        <v>10000000000</v>
      </c>
      <c r="BZ36" s="51">
        <f t="shared" si="55"/>
        <v>10000000000</v>
      </c>
      <c r="CA36" s="51">
        <f t="shared" si="56"/>
        <v>10000000000</v>
      </c>
      <c r="CB36" s="51">
        <f t="shared" si="57"/>
        <v>10000000000</v>
      </c>
      <c r="CC36" s="51">
        <f t="shared" si="58"/>
        <v>10000000000</v>
      </c>
      <c r="CD36" s="51">
        <f t="shared" si="59"/>
        <v>10000000000</v>
      </c>
      <c r="CE36" s="51">
        <f t="shared" si="60"/>
        <v>10000000000</v>
      </c>
      <c r="CF36" s="51">
        <f t="shared" si="61"/>
        <v>10000000000</v>
      </c>
      <c r="CG36" s="51">
        <f t="shared" si="62"/>
        <v>10000000000</v>
      </c>
      <c r="CH36" s="51">
        <f t="shared" si="63"/>
        <v>0</v>
      </c>
      <c r="CI36" s="51">
        <f t="shared" si="64"/>
        <v>1000000</v>
      </c>
      <c r="CJ36" s="51">
        <f t="shared" si="65"/>
        <v>10000000000</v>
      </c>
      <c r="CK36" s="51">
        <f t="shared" si="66"/>
        <v>10000000000</v>
      </c>
      <c r="CL36" s="51">
        <f t="shared" si="67"/>
        <v>10000000000</v>
      </c>
      <c r="CM36" s="51">
        <f t="shared" si="68"/>
        <v>10000000000</v>
      </c>
      <c r="CN36" s="51">
        <f t="shared" si="69"/>
        <v>10000000000</v>
      </c>
      <c r="CO36" s="51">
        <f t="shared" si="70"/>
        <v>10000000000</v>
      </c>
      <c r="CP36" s="51">
        <f t="shared" si="71"/>
        <v>10000000000</v>
      </c>
      <c r="CQ36" s="51">
        <f t="shared" si="72"/>
        <v>10000000000</v>
      </c>
      <c r="CR36" s="51">
        <f t="shared" si="73"/>
        <v>10000000000</v>
      </c>
      <c r="CS36" s="51">
        <f t="shared" si="74"/>
        <v>10000000000</v>
      </c>
      <c r="CT36" s="7">
        <f t="shared" si="75"/>
        <v>50000</v>
      </c>
      <c r="CU36" s="7">
        <f t="shared" si="175"/>
        <v>0</v>
      </c>
      <c r="CV36" s="7">
        <f t="shared" si="175"/>
        <v>0</v>
      </c>
      <c r="CW36" s="7">
        <f t="shared" si="175"/>
        <v>0</v>
      </c>
      <c r="CX36" s="7">
        <f t="shared" si="175"/>
        <v>0</v>
      </c>
      <c r="CY36" s="7">
        <f t="shared" si="175"/>
        <v>0</v>
      </c>
      <c r="CZ36" s="7">
        <f t="shared" si="174"/>
        <v>0</v>
      </c>
      <c r="DA36" s="7">
        <f t="shared" si="174"/>
        <v>0</v>
      </c>
      <c r="DB36" s="7">
        <f t="shared" si="174"/>
        <v>0</v>
      </c>
      <c r="DC36" s="7">
        <f t="shared" si="174"/>
        <v>0</v>
      </c>
      <c r="DD36" s="7">
        <f t="shared" si="174"/>
        <v>0</v>
      </c>
      <c r="DE36" s="37">
        <f t="shared" si="77"/>
        <v>0.05</v>
      </c>
      <c r="DF36" s="37">
        <f t="shared" si="78"/>
        <v>0.09</v>
      </c>
      <c r="DG36" s="7">
        <f t="shared" si="79"/>
        <v>0</v>
      </c>
      <c r="DH36" s="7">
        <f t="shared" si="80"/>
        <v>0</v>
      </c>
      <c r="DI36" s="7">
        <f t="shared" si="81"/>
        <v>0</v>
      </c>
      <c r="DJ36" s="7">
        <f t="shared" si="82"/>
        <v>0</v>
      </c>
      <c r="DK36" s="7">
        <f t="shared" si="83"/>
        <v>0</v>
      </c>
      <c r="DL36" s="7">
        <f t="shared" si="84"/>
        <v>0</v>
      </c>
      <c r="DM36" s="7">
        <f t="shared" si="85"/>
        <v>0</v>
      </c>
      <c r="DN36" s="7">
        <f t="shared" si="86"/>
        <v>0</v>
      </c>
      <c r="DO36" s="7">
        <f t="shared" si="87"/>
        <v>0</v>
      </c>
      <c r="DP36" s="7">
        <f t="shared" si="88"/>
        <v>0</v>
      </c>
      <c r="DQ36" s="7">
        <f t="shared" si="89"/>
        <v>6935.9142360843025</v>
      </c>
      <c r="DR36" s="37">
        <f t="shared" si="90"/>
        <v>0.05</v>
      </c>
      <c r="DS36" s="7">
        <f t="shared" si="91"/>
        <v>1747.7785746137988</v>
      </c>
      <c r="DT36" s="7" t="b">
        <f t="shared" si="92"/>
        <v>0</v>
      </c>
      <c r="DU36" s="7" t="b">
        <f t="shared" si="93"/>
        <v>0</v>
      </c>
      <c r="DV36" s="7" t="b">
        <f t="shared" si="94"/>
        <v>1</v>
      </c>
      <c r="DW36" s="7" t="b">
        <f t="shared" si="95"/>
        <v>1</v>
      </c>
      <c r="DX36" s="7" t="b">
        <f t="shared" si="96"/>
        <v>0</v>
      </c>
      <c r="DY36" s="207">
        <f t="shared" si="97"/>
        <v>0.54124596958814919</v>
      </c>
      <c r="DZ36" s="7">
        <f t="shared" si="98"/>
        <v>26646.740355106354</v>
      </c>
      <c r="EA36" s="36">
        <f t="shared" si="99"/>
        <v>0.22</v>
      </c>
      <c r="EB36" s="51">
        <f t="shared" si="170"/>
        <v>28023.887665251692</v>
      </c>
      <c r="EC36" s="7">
        <f t="shared" si="100"/>
        <v>20166.898256387958</v>
      </c>
      <c r="ED36" s="7">
        <f t="shared" si="101"/>
        <v>81971.487309370015</v>
      </c>
      <c r="EE36" s="7">
        <f t="shared" si="102"/>
        <v>174765.29717443098</v>
      </c>
      <c r="EF36" s="7">
        <f t="shared" si="103"/>
        <v>333710.01037186797</v>
      </c>
      <c r="EG36" s="7">
        <f t="shared" si="104"/>
        <v>423722.17909811682</v>
      </c>
      <c r="EH36" s="7">
        <f t="shared" si="105"/>
        <v>2016.6898256387958</v>
      </c>
      <c r="EI36" s="7">
        <f t="shared" si="106"/>
        <v>9433.2405119966425</v>
      </c>
      <c r="EJ36" s="7">
        <f t="shared" si="107"/>
        <v>29847.878682310053</v>
      </c>
      <c r="EK36" s="7">
        <f t="shared" si="108"/>
        <v>67994.609849694942</v>
      </c>
      <c r="EL36" s="7">
        <f t="shared" si="109"/>
        <v>96798.503842094564</v>
      </c>
      <c r="EM36" s="7">
        <f t="shared" si="110"/>
        <v>179068.14831103099</v>
      </c>
      <c r="EN36" s="7">
        <f t="shared" si="111"/>
        <v>224269.81681672815</v>
      </c>
      <c r="EO36" s="7">
        <f t="shared" si="112"/>
        <v>279902.63959297078</v>
      </c>
      <c r="EP36" s="7">
        <f t="shared" si="113"/>
        <v>335535.4623692134</v>
      </c>
      <c r="EQ36" s="7">
        <f t="shared" si="114"/>
        <v>869262.85587879131</v>
      </c>
      <c r="ER36" s="7">
        <f t="shared" si="115"/>
        <v>3630.0416861498325</v>
      </c>
      <c r="ES36" s="10">
        <f t="shared" si="116"/>
        <v>1.4</v>
      </c>
      <c r="ET36" s="16">
        <f t="shared" si="117"/>
        <v>1.4</v>
      </c>
      <c r="EU36" s="16">
        <f t="shared" si="118"/>
        <v>12</v>
      </c>
      <c r="EV36" s="7">
        <f t="shared" si="119"/>
        <v>1606.8166744599325</v>
      </c>
      <c r="EW36" s="37">
        <f t="shared" si="143"/>
        <v>3.2478545592795435E-2</v>
      </c>
      <c r="EX36" s="7">
        <f t="shared" si="120"/>
        <v>36566.618575795925</v>
      </c>
      <c r="EY36" s="7">
        <f t="shared" si="171"/>
        <v>19791.534925616692</v>
      </c>
      <c r="EZ36" s="37">
        <f t="shared" si="121"/>
        <v>0.27</v>
      </c>
      <c r="FA36" s="37">
        <f t="shared" si="122"/>
        <v>0.18949391420664213</v>
      </c>
      <c r="FB36" s="7">
        <f t="shared" si="123"/>
        <v>81328.763873275078</v>
      </c>
      <c r="FC36" s="7">
        <f t="shared" si="173"/>
        <v>44018.865657996408</v>
      </c>
      <c r="FD36" s="7">
        <f t="shared" si="144"/>
        <v>9270.8907587793456</v>
      </c>
      <c r="FE36" s="7">
        <f t="shared" si="124"/>
        <v>44000</v>
      </c>
      <c r="FF36" s="7">
        <f t="shared" si="145"/>
        <v>26603.104815784329</v>
      </c>
      <c r="FG36" s="7">
        <f t="shared" si="146"/>
        <v>0</v>
      </c>
      <c r="FH36" s="7">
        <f t="shared" si="147"/>
        <v>2706.2298479407459</v>
      </c>
      <c r="FI36" s="7">
        <f t="shared" si="125"/>
        <v>7666.6869163887213</v>
      </c>
      <c r="FJ36" s="7">
        <f t="shared" si="148"/>
        <v>34501.065919888024</v>
      </c>
      <c r="FK36" s="7">
        <f t="shared" si="149"/>
        <v>0</v>
      </c>
      <c r="FL36" s="7">
        <f t="shared" si="150"/>
        <v>0</v>
      </c>
      <c r="FM36" s="7">
        <f t="shared" si="151"/>
        <v>745.37543114532514</v>
      </c>
      <c r="FN36" s="7">
        <f t="shared" si="152"/>
        <v>0</v>
      </c>
      <c r="FO36" s="7">
        <f t="shared" si="153"/>
        <v>0</v>
      </c>
      <c r="FP36" s="7">
        <f t="shared" si="154"/>
        <v>14422.440819863201</v>
      </c>
      <c r="FQ36" s="7">
        <f t="shared" si="155"/>
        <v>3754.0356256896953</v>
      </c>
      <c r="FR36" s="7">
        <f t="shared" si="156"/>
        <v>869.68304891847163</v>
      </c>
      <c r="FS36" s="7">
        <f t="shared" si="157"/>
        <v>22612.639093416681</v>
      </c>
      <c r="FT36" s="7">
        <f t="shared" si="158"/>
        <v>19615.142924876978</v>
      </c>
      <c r="FU36" s="7">
        <f t="shared" si="159"/>
        <v>0</v>
      </c>
      <c r="FV36" s="7">
        <f t="shared" si="160"/>
        <v>55519.694185875742</v>
      </c>
      <c r="FW36" s="7">
        <f t="shared" si="161"/>
        <v>19615.142924876978</v>
      </c>
      <c r="FX36" s="7">
        <f t="shared" si="162"/>
        <v>0</v>
      </c>
      <c r="FY36" s="7">
        <f t="shared" si="163"/>
        <v>2706.2298479407459</v>
      </c>
      <c r="FZ36" s="7">
        <f t="shared" si="164"/>
        <v>0</v>
      </c>
      <c r="GA36" s="7">
        <f t="shared" si="165"/>
        <v>0</v>
      </c>
      <c r="GB36" s="7">
        <f t="shared" si="166"/>
        <v>55519.694185875742</v>
      </c>
      <c r="GC36" s="7">
        <f t="shared" si="126"/>
        <v>4149.5633935895912</v>
      </c>
      <c r="GD36" s="7">
        <f t="shared" si="127"/>
        <v>1672944.7117164047</v>
      </c>
      <c r="GE36" s="7">
        <f t="shared" si="128"/>
        <v>2690900.5092994263</v>
      </c>
      <c r="GF36" s="7">
        <f t="shared" si="129"/>
        <v>259985.99154599183</v>
      </c>
      <c r="GG36" s="7">
        <f t="shared" si="130"/>
        <v>899653.10852828471</v>
      </c>
      <c r="GH36" s="7">
        <f t="shared" si="131"/>
        <v>0</v>
      </c>
      <c r="GI36" s="7">
        <f t="shared" si="132"/>
        <v>0</v>
      </c>
      <c r="GJ36" s="7">
        <v>2289466.8390445868</v>
      </c>
      <c r="GK36" s="7">
        <v>853924.03333333379</v>
      </c>
    </row>
    <row r="37" spans="1:193" x14ac:dyDescent="0.55000000000000004">
      <c r="A37" s="60">
        <f t="shared" si="0"/>
        <v>2057</v>
      </c>
      <c r="B37" s="60">
        <f t="shared" si="1"/>
        <v>94</v>
      </c>
      <c r="C37" s="60">
        <f t="shared" si="2"/>
        <v>94</v>
      </c>
      <c r="D37" s="7">
        <f t="shared" si="3"/>
        <v>0</v>
      </c>
      <c r="E37" s="7">
        <f t="shared" si="4"/>
        <v>5000</v>
      </c>
      <c r="F37" s="7">
        <f t="shared" si="5"/>
        <v>0</v>
      </c>
      <c r="G37" s="7">
        <f t="shared" si="6"/>
        <v>0</v>
      </c>
      <c r="H37" s="7">
        <f t="shared" si="7"/>
        <v>50036.327703420953</v>
      </c>
      <c r="I37" s="7">
        <f t="shared" si="8"/>
        <v>18835.831511105283</v>
      </c>
      <c r="J37" s="7">
        <f t="shared" si="9"/>
        <v>50036.327703420953</v>
      </c>
      <c r="K37" s="7">
        <f t="shared" si="10"/>
        <v>5000</v>
      </c>
      <c r="L37" s="7">
        <f t="shared" si="11"/>
        <v>0</v>
      </c>
      <c r="M37" s="7">
        <f t="shared" si="12"/>
        <v>5000</v>
      </c>
      <c r="N37" s="7">
        <f t="shared" si="13"/>
        <v>55036.327703420953</v>
      </c>
      <c r="O37" s="7">
        <f t="shared" si="14"/>
        <v>66546.438170217254</v>
      </c>
      <c r="P37" s="7">
        <v>0</v>
      </c>
      <c r="Q37" s="29">
        <v>39927.862902130328</v>
      </c>
      <c r="R37" s="29">
        <v>26618.575268086926</v>
      </c>
      <c r="S37" s="7">
        <v>0</v>
      </c>
      <c r="T37" s="7">
        <f t="shared" si="15"/>
        <v>40351.927506906097</v>
      </c>
      <c r="U37" s="7">
        <f t="shared" si="16"/>
        <v>0</v>
      </c>
      <c r="V37" s="7">
        <f t="shared" si="17"/>
        <v>39382.714863101501</v>
      </c>
      <c r="W37" s="7"/>
      <c r="X37" s="7"/>
      <c r="Y37" s="7">
        <f t="shared" si="18"/>
        <v>23629.628917860886</v>
      </c>
      <c r="Z37" s="7">
        <f t="shared" si="18"/>
        <v>15753.085945240608</v>
      </c>
      <c r="AA37" s="7">
        <f t="shared" si="19"/>
        <v>0</v>
      </c>
      <c r="AB37" s="7"/>
      <c r="AC37" s="7">
        <f t="shared" si="20"/>
        <v>1152912.2144830313</v>
      </c>
      <c r="AD37" s="7">
        <f t="shared" si="21"/>
        <v>0</v>
      </c>
      <c r="AE37" s="7">
        <f t="shared" si="22"/>
        <v>970946.61670339969</v>
      </c>
      <c r="AF37" s="9">
        <f t="shared" si="23"/>
        <v>582567.97002203949</v>
      </c>
      <c r="AG37" s="56">
        <f t="shared" si="24"/>
        <v>388378.6466813602</v>
      </c>
      <c r="AH37" s="165">
        <f t="shared" si="25"/>
        <v>0.84</v>
      </c>
      <c r="AI37" s="56">
        <f t="shared" si="133"/>
        <v>2123858.831186431</v>
      </c>
      <c r="AJ37" s="56">
        <f t="shared" si="26"/>
        <v>611773.61703714542</v>
      </c>
      <c r="AK37" s="56">
        <f t="shared" si="27"/>
        <v>0</v>
      </c>
      <c r="AL37" s="56">
        <f t="shared" si="167"/>
        <v>432781.9530390295</v>
      </c>
      <c r="AM37" s="9">
        <f t="shared" si="168"/>
        <v>1044555.5700761749</v>
      </c>
      <c r="AN37" s="9">
        <f t="shared" si="28"/>
        <v>105929.15303331875</v>
      </c>
      <c r="AO37" s="9">
        <f t="shared" si="29"/>
        <v>63557.491819991214</v>
      </c>
      <c r="AP37" s="9">
        <f t="shared" si="30"/>
        <v>42371.661213327534</v>
      </c>
      <c r="AQ37" s="9">
        <f t="shared" si="134"/>
        <v>181299.24439193532</v>
      </c>
      <c r="AR37" s="9">
        <f t="shared" si="31"/>
        <v>25000</v>
      </c>
      <c r="AS37" s="9">
        <f t="shared" si="32"/>
        <v>34000</v>
      </c>
      <c r="AT37" s="9">
        <f t="shared" si="33"/>
        <v>105929.15303331875</v>
      </c>
      <c r="AU37" s="9">
        <f>IF(AQ37&lt;AR37,0,MIN(0.85*J37,MIN(AS37-AR37,AQ37-AR37)*0.5*J37+IF(AQ37&gt;AS37,0.85*(AQ37-AS37),0)*J37))</f>
        <v>42530.878547907807</v>
      </c>
      <c r="AV37" s="9">
        <f t="shared" si="136"/>
        <v>156281.08054022485</v>
      </c>
      <c r="AW37" s="7">
        <f t="shared" si="137"/>
        <v>201317.4082436458</v>
      </c>
      <c r="AX37" s="7">
        <f t="shared" si="138"/>
        <v>193811.95908813266</v>
      </c>
      <c r="AY37" s="7">
        <f t="shared" si="34"/>
        <v>40351.927506906097</v>
      </c>
      <c r="AZ37" s="7">
        <f t="shared" si="139"/>
        <v>40351.927506906097</v>
      </c>
      <c r="BA37" s="7">
        <f t="shared" si="35"/>
        <v>1533.3732452624317</v>
      </c>
      <c r="BB37" s="7">
        <f t="shared" si="36"/>
        <v>0</v>
      </c>
      <c r="BC37" s="7">
        <f t="shared" si="37"/>
        <v>0</v>
      </c>
      <c r="BD37" s="7">
        <f t="shared" si="38"/>
        <v>25839.359948710597</v>
      </c>
      <c r="BE37" s="7">
        <f t="shared" si="39"/>
        <v>38650.202997638349</v>
      </c>
      <c r="BF37" s="7">
        <f t="shared" si="140"/>
        <v>38650.202997638349</v>
      </c>
      <c r="BG37" s="7">
        <f t="shared" si="169"/>
        <v>167972.59913942206</v>
      </c>
      <c r="BH37" s="7">
        <f t="shared" si="172"/>
        <v>155161.75609049431</v>
      </c>
      <c r="BI37" s="7">
        <f t="shared" si="141"/>
        <v>167972.59913942206</v>
      </c>
      <c r="BJ37" s="7">
        <f t="shared" si="40"/>
        <v>40351.927506906097</v>
      </c>
      <c r="BK37" s="7">
        <f t="shared" si="41"/>
        <v>0</v>
      </c>
      <c r="BL37" s="7">
        <f t="shared" si="42"/>
        <v>5000</v>
      </c>
      <c r="BM37" s="7">
        <f t="shared" si="43"/>
        <v>105929.15303331875</v>
      </c>
      <c r="BN37" s="7">
        <f t="shared" si="44"/>
        <v>0</v>
      </c>
      <c r="BO37" s="7">
        <f t="shared" si="45"/>
        <v>0</v>
      </c>
      <c r="BP37" s="7">
        <f t="shared" si="142"/>
        <v>5100</v>
      </c>
      <c r="BQ37" s="7">
        <f t="shared" si="46"/>
        <v>5100</v>
      </c>
      <c r="BR37" s="7">
        <f t="shared" si="47"/>
        <v>0</v>
      </c>
      <c r="BS37" s="7">
        <f t="shared" si="48"/>
        <v>0</v>
      </c>
      <c r="BT37" s="7">
        <f t="shared" si="49"/>
        <v>146181.08054022485</v>
      </c>
      <c r="BU37" s="157">
        <f t="shared" si="50"/>
        <v>0.26673479170567355</v>
      </c>
      <c r="BV37" s="51">
        <f t="shared" si="51"/>
        <v>0</v>
      </c>
      <c r="BW37" s="51">
        <f t="shared" si="52"/>
        <v>1000000</v>
      </c>
      <c r="BX37" s="51">
        <f t="shared" si="53"/>
        <v>10000000000</v>
      </c>
      <c r="BY37" s="51">
        <f t="shared" si="54"/>
        <v>10000000000</v>
      </c>
      <c r="BZ37" s="51">
        <f t="shared" si="55"/>
        <v>10000000000</v>
      </c>
      <c r="CA37" s="51">
        <f t="shared" si="56"/>
        <v>10000000000</v>
      </c>
      <c r="CB37" s="51">
        <f t="shared" si="57"/>
        <v>10000000000</v>
      </c>
      <c r="CC37" s="51">
        <f t="shared" si="58"/>
        <v>10000000000</v>
      </c>
      <c r="CD37" s="51">
        <f t="shared" si="59"/>
        <v>10000000000</v>
      </c>
      <c r="CE37" s="51">
        <f t="shared" si="60"/>
        <v>10000000000</v>
      </c>
      <c r="CF37" s="51">
        <f t="shared" si="61"/>
        <v>10000000000</v>
      </c>
      <c r="CG37" s="51">
        <f t="shared" si="62"/>
        <v>10000000000</v>
      </c>
      <c r="CH37" s="51">
        <f t="shared" si="63"/>
        <v>0</v>
      </c>
      <c r="CI37" s="51">
        <f t="shared" si="64"/>
        <v>1000000</v>
      </c>
      <c r="CJ37" s="51">
        <f t="shared" si="65"/>
        <v>10000000000</v>
      </c>
      <c r="CK37" s="51">
        <f t="shared" si="66"/>
        <v>10000000000</v>
      </c>
      <c r="CL37" s="51">
        <f t="shared" si="67"/>
        <v>10000000000</v>
      </c>
      <c r="CM37" s="51">
        <f t="shared" si="68"/>
        <v>10000000000</v>
      </c>
      <c r="CN37" s="51">
        <f t="shared" si="69"/>
        <v>10000000000</v>
      </c>
      <c r="CO37" s="51">
        <f t="shared" si="70"/>
        <v>10000000000</v>
      </c>
      <c r="CP37" s="51">
        <f t="shared" si="71"/>
        <v>10000000000</v>
      </c>
      <c r="CQ37" s="51">
        <f t="shared" si="72"/>
        <v>10000000000</v>
      </c>
      <c r="CR37" s="51">
        <f t="shared" si="73"/>
        <v>10000000000</v>
      </c>
      <c r="CS37" s="51">
        <f t="shared" si="74"/>
        <v>10000000000</v>
      </c>
      <c r="CT37" s="7">
        <f t="shared" si="75"/>
        <v>50000</v>
      </c>
      <c r="CU37" s="7">
        <f t="shared" si="175"/>
        <v>0</v>
      </c>
      <c r="CV37" s="7">
        <f t="shared" si="175"/>
        <v>0</v>
      </c>
      <c r="CW37" s="7">
        <f t="shared" si="175"/>
        <v>0</v>
      </c>
      <c r="CX37" s="7">
        <f t="shared" si="175"/>
        <v>0</v>
      </c>
      <c r="CY37" s="7">
        <f t="shared" si="175"/>
        <v>0</v>
      </c>
      <c r="CZ37" s="7">
        <f t="shared" si="174"/>
        <v>0</v>
      </c>
      <c r="DA37" s="7">
        <f t="shared" si="174"/>
        <v>0</v>
      </c>
      <c r="DB37" s="7">
        <f t="shared" si="174"/>
        <v>0</v>
      </c>
      <c r="DC37" s="7">
        <f t="shared" si="174"/>
        <v>0</v>
      </c>
      <c r="DD37" s="7">
        <f t="shared" si="174"/>
        <v>0</v>
      </c>
      <c r="DE37" s="37">
        <f t="shared" si="77"/>
        <v>0.05</v>
      </c>
      <c r="DF37" s="37">
        <f t="shared" si="78"/>
        <v>0.09</v>
      </c>
      <c r="DG37" s="7">
        <f t="shared" si="79"/>
        <v>0</v>
      </c>
      <c r="DH37" s="7">
        <f t="shared" si="80"/>
        <v>0</v>
      </c>
      <c r="DI37" s="7">
        <f t="shared" si="81"/>
        <v>0</v>
      </c>
      <c r="DJ37" s="7">
        <f t="shared" si="82"/>
        <v>0</v>
      </c>
      <c r="DK37" s="7">
        <f t="shared" si="83"/>
        <v>0</v>
      </c>
      <c r="DL37" s="7">
        <f t="shared" si="84"/>
        <v>0</v>
      </c>
      <c r="DM37" s="7">
        <f t="shared" si="85"/>
        <v>0</v>
      </c>
      <c r="DN37" s="7">
        <f t="shared" si="86"/>
        <v>0</v>
      </c>
      <c r="DO37" s="7">
        <f t="shared" si="87"/>
        <v>0</v>
      </c>
      <c r="DP37" s="7">
        <f t="shared" si="88"/>
        <v>0</v>
      </c>
      <c r="DQ37" s="7">
        <f t="shared" si="89"/>
        <v>7309.0540270112433</v>
      </c>
      <c r="DR37" s="37">
        <f t="shared" si="90"/>
        <v>0.05</v>
      </c>
      <c r="DS37" s="7">
        <f t="shared" si="91"/>
        <v>1949.5790034603583</v>
      </c>
      <c r="DT37" s="7" t="b">
        <f t="shared" si="92"/>
        <v>0</v>
      </c>
      <c r="DU37" s="7" t="b">
        <f t="shared" si="93"/>
        <v>0</v>
      </c>
      <c r="DV37" s="7" t="b">
        <f t="shared" si="94"/>
        <v>1</v>
      </c>
      <c r="DW37" s="7" t="b">
        <f t="shared" si="95"/>
        <v>1</v>
      </c>
      <c r="DX37" s="7" t="b">
        <f t="shared" si="96"/>
        <v>0</v>
      </c>
      <c r="DY37" s="207">
        <f t="shared" si="97"/>
        <v>0.53063330351779314</v>
      </c>
      <c r="DZ37" s="7">
        <f t="shared" si="98"/>
        <v>28198.676354078925</v>
      </c>
      <c r="EA37" s="36">
        <f t="shared" si="99"/>
        <v>0.22</v>
      </c>
      <c r="EB37" s="51">
        <f t="shared" si="170"/>
        <v>29732.049599341357</v>
      </c>
      <c r="EC37" s="7">
        <f t="shared" si="100"/>
        <v>20529.90242500294</v>
      </c>
      <c r="ED37" s="7">
        <f t="shared" si="101"/>
        <v>83446.974080938671</v>
      </c>
      <c r="EE37" s="7">
        <f t="shared" si="102"/>
        <v>177911.07252357074</v>
      </c>
      <c r="EF37" s="7">
        <f t="shared" si="103"/>
        <v>339716.79055856157</v>
      </c>
      <c r="EG37" s="7">
        <f t="shared" si="104"/>
        <v>431349.17832188285</v>
      </c>
      <c r="EH37" s="7">
        <f t="shared" si="105"/>
        <v>2052.9902425002942</v>
      </c>
      <c r="EI37" s="7">
        <f t="shared" si="106"/>
        <v>9603.0388412125812</v>
      </c>
      <c r="EJ37" s="7">
        <f t="shared" si="107"/>
        <v>30385.140498591638</v>
      </c>
      <c r="EK37" s="7">
        <f t="shared" si="108"/>
        <v>69218.512826989434</v>
      </c>
      <c r="EL37" s="7">
        <f t="shared" si="109"/>
        <v>98540.876911252242</v>
      </c>
      <c r="EM37" s="7">
        <f t="shared" si="110"/>
        <v>182291.37498062954</v>
      </c>
      <c r="EN37" s="7">
        <f t="shared" si="111"/>
        <v>228306.67351942923</v>
      </c>
      <c r="EO37" s="7">
        <f t="shared" si="112"/>
        <v>284940.88710564421</v>
      </c>
      <c r="EP37" s="7">
        <f t="shared" si="113"/>
        <v>341575.10069185926</v>
      </c>
      <c r="EQ37" s="7">
        <f t="shared" si="114"/>
        <v>884909.58728460944</v>
      </c>
      <c r="ER37" s="7">
        <f t="shared" si="115"/>
        <v>3695.3824365005294</v>
      </c>
      <c r="ES37" s="10">
        <f t="shared" si="116"/>
        <v>1.4</v>
      </c>
      <c r="ET37" s="16">
        <f t="shared" si="117"/>
        <v>1.4</v>
      </c>
      <c r="EU37" s="16">
        <f t="shared" si="118"/>
        <v>12</v>
      </c>
      <c r="EV37" s="7">
        <f t="shared" si="119"/>
        <v>1632.9529746002113</v>
      </c>
      <c r="EW37" s="37">
        <f t="shared" si="143"/>
        <v>3.2592427495036318E-2</v>
      </c>
      <c r="EX37" s="7">
        <f t="shared" si="120"/>
        <v>38674.056600952812</v>
      </c>
      <c r="EY37" s="7">
        <f t="shared" si="171"/>
        <v>20521.742414597706</v>
      </c>
      <c r="EZ37" s="37">
        <f t="shared" si="121"/>
        <v>0.27</v>
      </c>
      <c r="FA37" s="37">
        <f t="shared" si="122"/>
        <v>0.19210488024039762</v>
      </c>
      <c r="FB37" s="7">
        <f t="shared" si="123"/>
        <v>82908.709272685403</v>
      </c>
      <c r="FC37" s="7">
        <f t="shared" si="173"/>
        <v>43994.122291761341</v>
      </c>
      <c r="FD37" s="7">
        <f t="shared" si="144"/>
        <v>9723.6161536270174</v>
      </c>
      <c r="FE37" s="7">
        <f t="shared" si="124"/>
        <v>44000</v>
      </c>
      <c r="FF37" s="7">
        <f t="shared" si="145"/>
        <v>26550.941865165132</v>
      </c>
      <c r="FG37" s="7">
        <f t="shared" si="146"/>
        <v>0</v>
      </c>
      <c r="FH37" s="7">
        <f t="shared" si="147"/>
        <v>2653.1665175889657</v>
      </c>
      <c r="FI37" s="7">
        <f t="shared" si="125"/>
        <v>8545.84462970612</v>
      </c>
      <c r="FJ37" s="7">
        <f t="shared" si="148"/>
        <v>35311.756323604946</v>
      </c>
      <c r="FK37" s="7">
        <f t="shared" si="149"/>
        <v>0</v>
      </c>
      <c r="FL37" s="7">
        <f t="shared" si="150"/>
        <v>0</v>
      </c>
      <c r="FM37" s="7">
        <f t="shared" si="151"/>
        <v>813.65891065940343</v>
      </c>
      <c r="FN37" s="7">
        <f t="shared" si="152"/>
        <v>0</v>
      </c>
      <c r="FO37" s="7">
        <f t="shared" si="153"/>
        <v>0</v>
      </c>
      <c r="FP37" s="7">
        <f t="shared" si="154"/>
        <v>14963.156788593978</v>
      </c>
      <c r="FQ37" s="7">
        <f t="shared" si="155"/>
        <v>3878.4274839430054</v>
      </c>
      <c r="FR37" s="7">
        <f t="shared" si="156"/>
        <v>866.49923140131705</v>
      </c>
      <c r="FS37" s="7">
        <f t="shared" si="157"/>
        <v>22568.30058539036</v>
      </c>
      <c r="FT37" s="7">
        <f t="shared" si="158"/>
        <v>21412.076596300089</v>
      </c>
      <c r="FU37" s="7">
        <f t="shared" si="159"/>
        <v>0</v>
      </c>
      <c r="FV37" s="7">
        <f t="shared" si="160"/>
        <v>56209.536412911788</v>
      </c>
      <c r="FW37" s="7">
        <f t="shared" si="161"/>
        <v>21412.076596300089</v>
      </c>
      <c r="FX37" s="7">
        <f t="shared" si="162"/>
        <v>0</v>
      </c>
      <c r="FY37" s="7">
        <f t="shared" si="163"/>
        <v>2653.1665175889657</v>
      </c>
      <c r="FZ37" s="7">
        <f t="shared" si="164"/>
        <v>0</v>
      </c>
      <c r="GA37" s="7">
        <f t="shared" si="165"/>
        <v>0</v>
      </c>
      <c r="GB37" s="7">
        <f t="shared" si="166"/>
        <v>56209.536412911788</v>
      </c>
      <c r="GC37" s="7">
        <f t="shared" si="126"/>
        <v>4534.7097672107502</v>
      </c>
      <c r="GD37" s="7">
        <f t="shared" si="127"/>
        <v>1716938.8340081661</v>
      </c>
      <c r="GE37" s="7">
        <f t="shared" si="128"/>
        <v>2761494.4040843411</v>
      </c>
      <c r="GF37" s="7">
        <f t="shared" si="129"/>
        <v>280507.73396058951</v>
      </c>
      <c r="GG37" s="7">
        <f t="shared" si="130"/>
        <v>926204.05039344984</v>
      </c>
      <c r="GH37" s="7">
        <f t="shared" si="131"/>
        <v>0</v>
      </c>
      <c r="GI37" s="7">
        <f t="shared" si="132"/>
        <v>0</v>
      </c>
      <c r="GJ37" s="7">
        <v>2337063.1819658494</v>
      </c>
      <c r="GK37" s="7">
        <v>880678.83333333384</v>
      </c>
    </row>
    <row r="38" spans="1:193" x14ac:dyDescent="0.55000000000000004">
      <c r="A38" s="60">
        <f t="shared" si="0"/>
        <v>2058</v>
      </c>
      <c r="B38" s="60">
        <f t="shared" si="1"/>
        <v>95</v>
      </c>
      <c r="C38" s="60">
        <f t="shared" si="2"/>
        <v>95</v>
      </c>
      <c r="D38" s="7">
        <f t="shared" si="3"/>
        <v>0</v>
      </c>
      <c r="E38" s="7">
        <f t="shared" si="4"/>
        <v>5000</v>
      </c>
      <c r="F38" s="7">
        <f t="shared" si="5"/>
        <v>0</v>
      </c>
      <c r="G38" s="7">
        <f t="shared" si="6"/>
        <v>0</v>
      </c>
      <c r="H38" s="7">
        <f t="shared" si="7"/>
        <v>50936.981602082538</v>
      </c>
      <c r="I38" s="7">
        <f t="shared" si="8"/>
        <v>19174.876478305181</v>
      </c>
      <c r="J38" s="7">
        <f t="shared" si="9"/>
        <v>50936.981602082538</v>
      </c>
      <c r="K38" s="7">
        <f t="shared" si="10"/>
        <v>5000</v>
      </c>
      <c r="L38" s="7">
        <f t="shared" si="11"/>
        <v>0</v>
      </c>
      <c r="M38" s="7">
        <f t="shared" si="12"/>
        <v>5000</v>
      </c>
      <c r="N38" s="7">
        <f t="shared" si="13"/>
        <v>55936.981602082538</v>
      </c>
      <c r="O38" s="7">
        <f t="shared" si="14"/>
        <v>69445.576908006216</v>
      </c>
      <c r="P38" s="7">
        <v>0</v>
      </c>
      <c r="Q38" s="29">
        <v>41667.346144803705</v>
      </c>
      <c r="R38" s="29">
        <v>27778.230763202511</v>
      </c>
      <c r="S38" s="7">
        <v>0</v>
      </c>
      <c r="T38" s="7">
        <f t="shared" si="15"/>
        <v>44777.050507557913</v>
      </c>
      <c r="U38" s="7">
        <f t="shared" si="16"/>
        <v>0</v>
      </c>
      <c r="V38" s="7">
        <f t="shared" si="17"/>
        <v>39649.548564285884</v>
      </c>
      <c r="W38" s="7"/>
      <c r="X38" s="7"/>
      <c r="Y38" s="7">
        <f t="shared" si="18"/>
        <v>23789.729138571514</v>
      </c>
      <c r="Z38" s="7">
        <f t="shared" si="18"/>
        <v>15859.819425714362</v>
      </c>
      <c r="AA38" s="7">
        <f t="shared" si="19"/>
        <v>0</v>
      </c>
      <c r="AB38" s="7"/>
      <c r="AC38" s="7">
        <f t="shared" si="20"/>
        <v>1279344.3002159402</v>
      </c>
      <c r="AD38" s="7">
        <f t="shared" si="21"/>
        <v>0</v>
      </c>
      <c r="AE38" s="7">
        <f t="shared" si="22"/>
        <v>929665.02122468455</v>
      </c>
      <c r="AF38" s="9">
        <f t="shared" si="23"/>
        <v>557799.01273481036</v>
      </c>
      <c r="AG38" s="56">
        <f t="shared" si="24"/>
        <v>371866.00848987413</v>
      </c>
      <c r="AH38" s="165">
        <f t="shared" si="25"/>
        <v>0.84</v>
      </c>
      <c r="AI38" s="56">
        <f t="shared" si="133"/>
        <v>2209009.321440625</v>
      </c>
      <c r="AJ38" s="56">
        <f t="shared" si="26"/>
        <v>665551.65917670948</v>
      </c>
      <c r="AK38" s="56">
        <f t="shared" si="27"/>
        <v>0</v>
      </c>
      <c r="AL38" s="56">
        <f t="shared" si="167"/>
        <v>406256.29995785357</v>
      </c>
      <c r="AM38" s="9">
        <f t="shared" si="168"/>
        <v>1071807.9591345631</v>
      </c>
      <c r="AN38" s="9">
        <f t="shared" si="28"/>
        <v>109095.1254722921</v>
      </c>
      <c r="AO38" s="9">
        <f t="shared" si="29"/>
        <v>65457.075283375219</v>
      </c>
      <c r="AP38" s="9">
        <f t="shared" si="30"/>
        <v>43638.050188916874</v>
      </c>
      <c r="AQ38" s="9">
        <f t="shared" si="134"/>
        <v>189340.66678089128</v>
      </c>
      <c r="AR38" s="9">
        <f t="shared" si="31"/>
        <v>25000</v>
      </c>
      <c r="AS38" s="9">
        <f t="shared" si="32"/>
        <v>34000</v>
      </c>
      <c r="AT38" s="9">
        <f t="shared" si="33"/>
        <v>109095.1254722921</v>
      </c>
      <c r="AU38" s="9">
        <f t="shared" si="135"/>
        <v>43296.43436177016</v>
      </c>
      <c r="AV38" s="9">
        <f t="shared" si="136"/>
        <v>163872.17597985</v>
      </c>
      <c r="AW38" s="7">
        <f t="shared" si="137"/>
        <v>209809.15758193255</v>
      </c>
      <c r="AX38" s="7">
        <f t="shared" si="138"/>
        <v>202168.61034162019</v>
      </c>
      <c r="AY38" s="7">
        <f t="shared" si="34"/>
        <v>44777.050507557913</v>
      </c>
      <c r="AZ38" s="7">
        <f t="shared" si="139"/>
        <v>44777.050507557913</v>
      </c>
      <c r="BA38" s="7">
        <f t="shared" si="35"/>
        <v>1701.5279192872006</v>
      </c>
      <c r="BB38" s="7">
        <f t="shared" si="36"/>
        <v>0</v>
      </c>
      <c r="BC38" s="7">
        <f t="shared" si="37"/>
        <v>0</v>
      </c>
      <c r="BD38" s="7">
        <f t="shared" si="38"/>
        <v>26304.468427787389</v>
      </c>
      <c r="BE38" s="7">
        <f t="shared" si="39"/>
        <v>39593.898451090907</v>
      </c>
      <c r="BF38" s="7">
        <f t="shared" si="140"/>
        <v>39593.898451090907</v>
      </c>
      <c r="BG38" s="7">
        <f t="shared" si="169"/>
        <v>175864.14191383281</v>
      </c>
      <c r="BH38" s="7">
        <f t="shared" si="172"/>
        <v>162574.71189052929</v>
      </c>
      <c r="BI38" s="7">
        <f t="shared" si="141"/>
        <v>175864.14191383281</v>
      </c>
      <c r="BJ38" s="7">
        <f t="shared" si="40"/>
        <v>44777.050507557913</v>
      </c>
      <c r="BK38" s="7">
        <f t="shared" si="41"/>
        <v>0</v>
      </c>
      <c r="BL38" s="7">
        <f t="shared" si="42"/>
        <v>5000</v>
      </c>
      <c r="BM38" s="7">
        <f t="shared" si="43"/>
        <v>109095.1254722921</v>
      </c>
      <c r="BN38" s="7">
        <f t="shared" si="44"/>
        <v>0</v>
      </c>
      <c r="BO38" s="7">
        <f t="shared" si="45"/>
        <v>0</v>
      </c>
      <c r="BP38" s="7">
        <f t="shared" si="142"/>
        <v>5100</v>
      </c>
      <c r="BQ38" s="7">
        <f t="shared" si="46"/>
        <v>5100</v>
      </c>
      <c r="BR38" s="7">
        <f t="shared" si="47"/>
        <v>0</v>
      </c>
      <c r="BS38" s="7">
        <f t="shared" si="48"/>
        <v>0</v>
      </c>
      <c r="BT38" s="7">
        <f t="shared" si="49"/>
        <v>153772.17597985</v>
      </c>
      <c r="BU38" s="157">
        <f t="shared" si="50"/>
        <v>0.28184325059686383</v>
      </c>
      <c r="BV38" s="51">
        <f t="shared" si="51"/>
        <v>0</v>
      </c>
      <c r="BW38" s="51">
        <f t="shared" si="52"/>
        <v>1000000</v>
      </c>
      <c r="BX38" s="51">
        <f t="shared" si="53"/>
        <v>10000000000</v>
      </c>
      <c r="BY38" s="51">
        <f t="shared" si="54"/>
        <v>10000000000</v>
      </c>
      <c r="BZ38" s="51">
        <f t="shared" si="55"/>
        <v>10000000000</v>
      </c>
      <c r="CA38" s="51">
        <f t="shared" si="56"/>
        <v>10000000000</v>
      </c>
      <c r="CB38" s="51">
        <f t="shared" si="57"/>
        <v>10000000000</v>
      </c>
      <c r="CC38" s="51">
        <f t="shared" si="58"/>
        <v>10000000000</v>
      </c>
      <c r="CD38" s="51">
        <f t="shared" si="59"/>
        <v>10000000000</v>
      </c>
      <c r="CE38" s="51">
        <f t="shared" si="60"/>
        <v>10000000000</v>
      </c>
      <c r="CF38" s="51">
        <f t="shared" si="61"/>
        <v>10000000000</v>
      </c>
      <c r="CG38" s="51">
        <f t="shared" si="62"/>
        <v>10000000000</v>
      </c>
      <c r="CH38" s="51">
        <f t="shared" si="63"/>
        <v>0</v>
      </c>
      <c r="CI38" s="51">
        <f t="shared" si="64"/>
        <v>1000000</v>
      </c>
      <c r="CJ38" s="51">
        <f t="shared" si="65"/>
        <v>10000000000</v>
      </c>
      <c r="CK38" s="51">
        <f t="shared" si="66"/>
        <v>10000000000</v>
      </c>
      <c r="CL38" s="51">
        <f t="shared" si="67"/>
        <v>10000000000</v>
      </c>
      <c r="CM38" s="51">
        <f t="shared" si="68"/>
        <v>10000000000</v>
      </c>
      <c r="CN38" s="51">
        <f t="shared" si="69"/>
        <v>10000000000</v>
      </c>
      <c r="CO38" s="51">
        <f t="shared" si="70"/>
        <v>10000000000</v>
      </c>
      <c r="CP38" s="51">
        <f t="shared" si="71"/>
        <v>10000000000</v>
      </c>
      <c r="CQ38" s="51">
        <f t="shared" si="72"/>
        <v>10000000000</v>
      </c>
      <c r="CR38" s="51">
        <f t="shared" si="73"/>
        <v>10000000000</v>
      </c>
      <c r="CS38" s="51">
        <f t="shared" si="74"/>
        <v>10000000000</v>
      </c>
      <c r="CT38" s="7">
        <f t="shared" si="75"/>
        <v>50000</v>
      </c>
      <c r="CU38" s="7">
        <f t="shared" si="175"/>
        <v>0</v>
      </c>
      <c r="CV38" s="7">
        <f t="shared" si="175"/>
        <v>0</v>
      </c>
      <c r="CW38" s="7">
        <f t="shared" si="175"/>
        <v>0</v>
      </c>
      <c r="CX38" s="7">
        <f t="shared" si="175"/>
        <v>0</v>
      </c>
      <c r="CY38" s="7">
        <f t="shared" si="175"/>
        <v>0</v>
      </c>
      <c r="CZ38" s="7">
        <f t="shared" si="174"/>
        <v>0</v>
      </c>
      <c r="DA38" s="7">
        <f t="shared" si="174"/>
        <v>0</v>
      </c>
      <c r="DB38" s="7">
        <f t="shared" si="174"/>
        <v>0</v>
      </c>
      <c r="DC38" s="7">
        <f t="shared" si="174"/>
        <v>0</v>
      </c>
      <c r="DD38" s="7">
        <f t="shared" si="174"/>
        <v>0</v>
      </c>
      <c r="DE38" s="37">
        <f t="shared" si="77"/>
        <v>0.05</v>
      </c>
      <c r="DF38" s="37">
        <f t="shared" si="78"/>
        <v>0.09</v>
      </c>
      <c r="DG38" s="7">
        <f t="shared" si="79"/>
        <v>0</v>
      </c>
      <c r="DH38" s="7">
        <f t="shared" si="80"/>
        <v>0</v>
      </c>
      <c r="DI38" s="7">
        <f t="shared" si="81"/>
        <v>0</v>
      </c>
      <c r="DJ38" s="7">
        <f t="shared" si="82"/>
        <v>0</v>
      </c>
      <c r="DK38" s="7">
        <f t="shared" si="83"/>
        <v>0</v>
      </c>
      <c r="DL38" s="7">
        <f t="shared" si="84"/>
        <v>0</v>
      </c>
      <c r="DM38" s="7">
        <f t="shared" si="85"/>
        <v>0</v>
      </c>
      <c r="DN38" s="7">
        <f t="shared" si="86"/>
        <v>0</v>
      </c>
      <c r="DO38" s="7">
        <f t="shared" si="87"/>
        <v>0</v>
      </c>
      <c r="DP38" s="7">
        <f t="shared" si="88"/>
        <v>0</v>
      </c>
      <c r="DQ38" s="7">
        <f t="shared" si="89"/>
        <v>7688.6087989924999</v>
      </c>
      <c r="DR38" s="37">
        <f t="shared" si="90"/>
        <v>0.05</v>
      </c>
      <c r="DS38" s="7">
        <f t="shared" si="91"/>
        <v>2166.9824964756954</v>
      </c>
      <c r="DT38" s="7" t="b">
        <f t="shared" si="92"/>
        <v>0</v>
      </c>
      <c r="DU38" s="7" t="b">
        <f t="shared" si="93"/>
        <v>0</v>
      </c>
      <c r="DV38" s="7" t="b">
        <f t="shared" si="94"/>
        <v>1</v>
      </c>
      <c r="DW38" s="7" t="b">
        <f t="shared" si="95"/>
        <v>1</v>
      </c>
      <c r="DX38" s="7" t="b">
        <f t="shared" si="96"/>
        <v>0</v>
      </c>
      <c r="DY38" s="207">
        <f t="shared" si="97"/>
        <v>0.52022872893901284</v>
      </c>
      <c r="DZ38" s="7">
        <f t="shared" si="98"/>
        <v>29777.2204462306</v>
      </c>
      <c r="EA38" s="36">
        <f t="shared" si="99"/>
        <v>0.22</v>
      </c>
      <c r="EB38" s="51">
        <f t="shared" si="170"/>
        <v>31478.7483655178</v>
      </c>
      <c r="EC38" s="7">
        <f t="shared" si="100"/>
        <v>20899.440668652995</v>
      </c>
      <c r="ED38" s="7">
        <f t="shared" si="101"/>
        <v>84949.019614395569</v>
      </c>
      <c r="EE38" s="7">
        <f t="shared" si="102"/>
        <v>181113.47182899501</v>
      </c>
      <c r="EF38" s="7">
        <f t="shared" si="103"/>
        <v>345831.69278861571</v>
      </c>
      <c r="EG38" s="7">
        <f t="shared" si="104"/>
        <v>439113.4635316768</v>
      </c>
      <c r="EH38" s="7">
        <f t="shared" si="105"/>
        <v>2089.9440668652996</v>
      </c>
      <c r="EI38" s="7">
        <f t="shared" si="106"/>
        <v>9775.8935403544092</v>
      </c>
      <c r="EJ38" s="7">
        <f t="shared" si="107"/>
        <v>30932.073027566286</v>
      </c>
      <c r="EK38" s="7">
        <f t="shared" si="108"/>
        <v>70464.446057875262</v>
      </c>
      <c r="EL38" s="7">
        <f t="shared" si="109"/>
        <v>100314.61269565481</v>
      </c>
      <c r="EM38" s="7">
        <f t="shared" si="110"/>
        <v>185572.61973028089</v>
      </c>
      <c r="EN38" s="7">
        <f t="shared" si="111"/>
        <v>232416.19364277896</v>
      </c>
      <c r="EO38" s="7">
        <f t="shared" si="112"/>
        <v>290069.82307354582</v>
      </c>
      <c r="EP38" s="7">
        <f t="shared" si="113"/>
        <v>347723.45250431274</v>
      </c>
      <c r="EQ38" s="7">
        <f t="shared" si="114"/>
        <v>900837.95985573251</v>
      </c>
      <c r="ER38" s="7">
        <f t="shared" si="115"/>
        <v>3761.8993203575392</v>
      </c>
      <c r="ES38" s="10">
        <f t="shared" si="116"/>
        <v>1.4</v>
      </c>
      <c r="ET38" s="16">
        <f t="shared" si="117"/>
        <v>1.4</v>
      </c>
      <c r="EU38" s="16">
        <f t="shared" si="118"/>
        <v>12</v>
      </c>
      <c r="EV38" s="7">
        <f t="shared" si="119"/>
        <v>1659.5597281430153</v>
      </c>
      <c r="EW38" s="37">
        <f t="shared" si="143"/>
        <v>3.2697830895480229E-2</v>
      </c>
      <c r="EX38" s="7">
        <f t="shared" si="120"/>
        <v>40826.916892653317</v>
      </c>
      <c r="EY38" s="7">
        <f t="shared" si="171"/>
        <v>21239.335081563746</v>
      </c>
      <c r="EZ38" s="37">
        <f t="shared" si="121"/>
        <v>0.27</v>
      </c>
      <c r="FA38" s="37">
        <f t="shared" si="122"/>
        <v>0.19459072884704759</v>
      </c>
      <c r="FB38" s="7">
        <f t="shared" si="123"/>
        <v>84555.641617435438</v>
      </c>
      <c r="FC38" s="7">
        <f t="shared" si="173"/>
        <v>43988.273963261134</v>
      </c>
      <c r="FD38" s="7">
        <f t="shared" si="144"/>
        <v>10195.451428552085</v>
      </c>
      <c r="FE38" s="7">
        <f t="shared" si="124"/>
        <v>44000</v>
      </c>
      <c r="FF38" s="7">
        <f t="shared" si="145"/>
        <v>26498.88119484128</v>
      </c>
      <c r="FG38" s="7">
        <f t="shared" si="146"/>
        <v>0</v>
      </c>
      <c r="FH38" s="7">
        <f t="shared" si="147"/>
        <v>2601.1436446950643</v>
      </c>
      <c r="FI38" s="7">
        <f t="shared" si="125"/>
        <v>9493.9232900388251</v>
      </c>
      <c r="FJ38" s="7">
        <f t="shared" si="148"/>
        <v>36127.584205288535</v>
      </c>
      <c r="FK38" s="7">
        <f t="shared" si="149"/>
        <v>0</v>
      </c>
      <c r="FL38" s="7">
        <f t="shared" si="150"/>
        <v>0</v>
      </c>
      <c r="FM38" s="7">
        <f t="shared" si="151"/>
        <v>885.18370670502361</v>
      </c>
      <c r="FN38" s="7">
        <f t="shared" si="152"/>
        <v>0</v>
      </c>
      <c r="FO38" s="7">
        <f t="shared" si="153"/>
        <v>0</v>
      </c>
      <c r="FP38" s="7">
        <f t="shared" si="154"/>
        <v>15490.96554407933</v>
      </c>
      <c r="FQ38" s="7">
        <f t="shared" si="155"/>
        <v>3999.8351828091781</v>
      </c>
      <c r="FR38" s="7">
        <f t="shared" si="156"/>
        <v>863.35064797021448</v>
      </c>
      <c r="FS38" s="7">
        <f t="shared" si="157"/>
        <v>22524.049015615088</v>
      </c>
      <c r="FT38" s="7">
        <f t="shared" si="158"/>
        <v>23294.308071184834</v>
      </c>
      <c r="FU38" s="7">
        <f t="shared" si="159"/>
        <v>0</v>
      </c>
      <c r="FV38" s="7">
        <f t="shared" si="160"/>
        <v>56754.418457892643</v>
      </c>
      <c r="FW38" s="7">
        <f t="shared" si="161"/>
        <v>23294.308071184834</v>
      </c>
      <c r="FX38" s="7">
        <f t="shared" si="162"/>
        <v>0</v>
      </c>
      <c r="FY38" s="7">
        <f t="shared" si="163"/>
        <v>2601.1436446950643</v>
      </c>
      <c r="FZ38" s="7">
        <f t="shared" si="164"/>
        <v>0</v>
      </c>
      <c r="GA38" s="7">
        <f t="shared" si="165"/>
        <v>0</v>
      </c>
      <c r="GB38" s="7">
        <f t="shared" si="166"/>
        <v>56754.418457892643</v>
      </c>
      <c r="GC38" s="7">
        <f t="shared" si="126"/>
        <v>4939.0116458213888</v>
      </c>
      <c r="GD38" s="7">
        <f t="shared" si="127"/>
        <v>1760927.1079714273</v>
      </c>
      <c r="GE38" s="7">
        <f t="shared" si="128"/>
        <v>2832735.0671059904</v>
      </c>
      <c r="GF38" s="7">
        <f t="shared" si="129"/>
        <v>301747.06904215325</v>
      </c>
      <c r="GG38" s="7">
        <f t="shared" si="130"/>
        <v>952702.93158829107</v>
      </c>
      <c r="GH38" s="7">
        <f t="shared" si="131"/>
        <v>0</v>
      </c>
      <c r="GI38" s="7">
        <f t="shared" si="132"/>
        <v>0</v>
      </c>
      <c r="GJ38" s="7">
        <v>2381893.1612145454</v>
      </c>
      <c r="GK38" s="7">
        <v>907433.63333333388</v>
      </c>
    </row>
    <row r="39" spans="1:193" x14ac:dyDescent="0.55000000000000004">
      <c r="A39" s="196"/>
      <c r="B39" s="196"/>
      <c r="C39" s="196"/>
      <c r="D39" s="8"/>
      <c r="E39" s="8"/>
      <c r="F39" s="8"/>
      <c r="G39" s="8"/>
      <c r="H39" s="8"/>
      <c r="I39" s="8"/>
      <c r="J39" s="8"/>
      <c r="K39" s="8"/>
      <c r="L39" s="8"/>
      <c r="M39" s="8"/>
      <c r="N39" s="8"/>
      <c r="O39" s="8"/>
      <c r="P39" s="8"/>
      <c r="S39" s="8"/>
      <c r="T39" s="8"/>
      <c r="U39" s="8"/>
      <c r="V39" s="8"/>
      <c r="W39" s="8"/>
      <c r="X39" s="8"/>
      <c r="Y39" s="8"/>
      <c r="Z39" s="8"/>
      <c r="AA39" s="8"/>
      <c r="AB39" s="8"/>
      <c r="AC39" s="8"/>
      <c r="AD39" s="8"/>
      <c r="AE39" s="8"/>
      <c r="AF39" s="8"/>
      <c r="AG39" s="35"/>
      <c r="AH39" s="48"/>
      <c r="AI39" s="48"/>
      <c r="AJ39" s="48"/>
      <c r="AK39" s="48"/>
      <c r="AL39" s="4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197"/>
      <c r="CC39" s="51"/>
      <c r="CT39" s="8"/>
      <c r="CU39" s="8"/>
      <c r="CV39" s="8"/>
      <c r="CW39" s="8"/>
      <c r="CX39" s="8"/>
      <c r="CY39" s="8"/>
      <c r="CZ39" s="8"/>
      <c r="DA39" s="8"/>
      <c r="DB39" s="8"/>
      <c r="DC39" s="8"/>
      <c r="DD39" s="8"/>
      <c r="DG39" s="8"/>
      <c r="DH39" s="8"/>
      <c r="DI39" s="8"/>
      <c r="DJ39" s="8"/>
      <c r="DK39" s="8"/>
      <c r="DL39" s="8"/>
      <c r="DM39" s="8"/>
      <c r="DN39" s="8"/>
      <c r="DO39" s="8"/>
      <c r="DP39" s="8"/>
      <c r="DQ39" s="8"/>
      <c r="DS39" s="8"/>
      <c r="DT39" s="8"/>
      <c r="DU39" s="8"/>
      <c r="DV39" s="8"/>
      <c r="DW39" s="8"/>
      <c r="DX39" s="8"/>
      <c r="DZ39" s="8"/>
      <c r="EA39" s="54"/>
      <c r="EC39" s="8"/>
      <c r="ED39" s="8"/>
      <c r="EE39" s="8"/>
      <c r="EF39" s="8"/>
      <c r="EG39" s="8"/>
      <c r="EH39" s="8"/>
      <c r="EI39" s="8"/>
      <c r="EJ39" s="8"/>
      <c r="EK39" s="8"/>
      <c r="EL39" s="8"/>
      <c r="EM39" s="8"/>
      <c r="EN39" s="8"/>
      <c r="EO39" s="8"/>
      <c r="EP39" s="8"/>
      <c r="EQ39" s="8"/>
      <c r="ER39" s="8"/>
      <c r="ES39" s="23"/>
      <c r="ET39" s="24"/>
      <c r="EU39" s="24"/>
      <c r="EV39" s="8"/>
      <c r="EX39" s="8"/>
      <c r="EY39" s="8"/>
      <c r="EZ39" s="45"/>
      <c r="FA39" s="45"/>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row>
    <row r="40" spans="1:193" x14ac:dyDescent="0.55000000000000004">
      <c r="D40" s="8"/>
      <c r="E40" s="8"/>
      <c r="F40" s="8"/>
      <c r="G40" s="8"/>
      <c r="H40" s="8"/>
      <c r="I40" s="8"/>
      <c r="J40" s="8"/>
      <c r="K40" s="8"/>
      <c r="L40" s="8"/>
      <c r="M40" s="8"/>
      <c r="N40" s="8"/>
      <c r="O40" s="8"/>
      <c r="P40" s="8"/>
      <c r="S40" s="8"/>
      <c r="T40" s="8"/>
      <c r="U40" s="8"/>
      <c r="V40" s="8"/>
      <c r="W40" s="8"/>
      <c r="X40" s="8"/>
      <c r="Y40" s="8"/>
      <c r="Z40" s="8"/>
      <c r="AA40" s="8"/>
      <c r="AB40" s="8"/>
      <c r="AC40" s="8"/>
      <c r="AD40" s="8"/>
      <c r="AE40" s="8"/>
      <c r="AF40" s="8"/>
      <c r="AG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CC40" s="51"/>
      <c r="CT40" s="8"/>
      <c r="CU40" s="8"/>
      <c r="CV40" s="8"/>
      <c r="CW40" s="8"/>
      <c r="CX40" s="8"/>
      <c r="CY40" s="8"/>
      <c r="CZ40" s="8"/>
      <c r="DA40" s="8"/>
      <c r="DB40" s="8"/>
      <c r="DC40" s="8"/>
      <c r="DD40" s="8"/>
      <c r="DG40" s="8"/>
      <c r="DH40" s="8"/>
      <c r="DI40" s="8"/>
      <c r="DJ40" s="8"/>
      <c r="DK40" s="8"/>
      <c r="DL40" s="8"/>
      <c r="DM40" s="8"/>
      <c r="DN40" s="8"/>
      <c r="DO40" s="8"/>
      <c r="DP40" s="8"/>
      <c r="DQ40" s="8"/>
      <c r="DS40" s="8"/>
      <c r="DT40" s="8"/>
      <c r="DU40" s="8"/>
      <c r="DV40" s="8"/>
      <c r="DW40" s="8"/>
      <c r="DX40" s="8"/>
      <c r="DZ40" s="8"/>
      <c r="EA40" s="8"/>
      <c r="EC40" s="8"/>
      <c r="ED40" s="8"/>
      <c r="EE40" s="8"/>
      <c r="EF40" s="8"/>
      <c r="EG40" s="8"/>
      <c r="EH40" s="8"/>
      <c r="EI40" s="8"/>
      <c r="EJ40" s="8"/>
      <c r="EK40" s="8"/>
      <c r="EL40" s="8"/>
      <c r="EM40" s="8"/>
      <c r="EN40" s="8"/>
      <c r="EO40" s="8"/>
      <c r="EP40" s="8"/>
      <c r="EQ40" s="8"/>
      <c r="ER40" s="8"/>
      <c r="ES40" s="24"/>
      <c r="ET40" s="24"/>
      <c r="EU40" s="24"/>
      <c r="EV40" s="8"/>
    </row>
    <row r="41" spans="1:193" x14ac:dyDescent="0.55000000000000004">
      <c r="A41" s="216" t="s">
        <v>152</v>
      </c>
      <c r="B41" s="217"/>
      <c r="C41" s="217"/>
      <c r="D41" s="217"/>
      <c r="E41" s="217"/>
      <c r="F41" s="217"/>
      <c r="G41" s="218"/>
      <c r="H41" s="8"/>
      <c r="I41" s="8"/>
      <c r="J41" s="8"/>
      <c r="K41" s="8"/>
      <c r="L41" s="8"/>
      <c r="M41" s="8"/>
      <c r="N41" s="8"/>
      <c r="O41" s="8"/>
      <c r="P41" s="8"/>
      <c r="S41" s="8"/>
      <c r="T41" s="8"/>
      <c r="U41" s="8"/>
      <c r="V41" s="8"/>
      <c r="W41" s="8"/>
      <c r="X41" s="8"/>
      <c r="Y41" s="8"/>
      <c r="Z41" s="8"/>
      <c r="AA41" s="8"/>
      <c r="AB41" s="8"/>
      <c r="AC41" s="8"/>
      <c r="AD41" s="8"/>
      <c r="AE41" s="8"/>
      <c r="AF41" s="8"/>
      <c r="AG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CT41" s="8"/>
      <c r="CU41" s="8"/>
      <c r="CV41" s="8"/>
      <c r="CW41" s="8"/>
      <c r="CX41" s="8"/>
      <c r="CY41" s="8"/>
      <c r="CZ41" s="8"/>
      <c r="DA41" s="8"/>
      <c r="DB41" s="8"/>
      <c r="DC41" s="8"/>
      <c r="DD41" s="8"/>
      <c r="DG41" s="8"/>
      <c r="DH41" s="8"/>
      <c r="DI41" s="8"/>
      <c r="DJ41" s="8"/>
      <c r="DK41" s="8"/>
      <c r="DL41" s="8"/>
      <c r="DM41" s="8"/>
      <c r="DN41" s="8"/>
      <c r="DO41" s="8"/>
      <c r="DP41" s="8"/>
      <c r="DQ41" s="8"/>
      <c r="DS41" s="8"/>
      <c r="DT41" s="8"/>
      <c r="DU41" s="8"/>
      <c r="DV41" s="8"/>
      <c r="DW41" s="8"/>
      <c r="DX41" s="8"/>
      <c r="DZ41" s="8"/>
      <c r="EA41" s="8"/>
      <c r="EC41" s="8"/>
      <c r="ED41" s="8"/>
      <c r="EE41" s="8"/>
      <c r="EF41" s="8"/>
      <c r="EG41" s="8"/>
      <c r="EH41" s="8"/>
      <c r="EI41" s="8"/>
      <c r="EJ41" s="8"/>
      <c r="EK41" s="8"/>
      <c r="EL41" s="8"/>
      <c r="EM41" s="8"/>
      <c r="EN41" s="8"/>
      <c r="EO41" s="8"/>
      <c r="EP41" s="8"/>
      <c r="EQ41" s="8"/>
      <c r="ER41" s="8"/>
      <c r="ES41" s="24"/>
      <c r="ET41" s="24"/>
      <c r="EU41" s="24"/>
      <c r="EV41" s="8"/>
    </row>
    <row r="42" spans="1:193" x14ac:dyDescent="0.55000000000000004">
      <c r="A42" s="222"/>
      <c r="B42" s="222"/>
      <c r="C42" s="248"/>
      <c r="D42" s="177" t="s">
        <v>14</v>
      </c>
      <c r="E42" s="177" t="s">
        <v>15</v>
      </c>
      <c r="F42" s="177" t="s">
        <v>600</v>
      </c>
      <c r="G42" s="177" t="s">
        <v>124</v>
      </c>
      <c r="H42" s="8"/>
      <c r="I42" s="8"/>
      <c r="J42" s="8"/>
      <c r="K42" s="8"/>
      <c r="L42" s="8"/>
      <c r="M42" s="8"/>
      <c r="N42" s="8"/>
      <c r="O42" s="8"/>
      <c r="P42" s="8"/>
      <c r="S42" s="8"/>
      <c r="T42" s="32"/>
      <c r="V42" s="8"/>
      <c r="W42" s="8"/>
      <c r="X42" s="8"/>
      <c r="Y42" s="8"/>
      <c r="Z42" s="8"/>
      <c r="AA42" s="8"/>
      <c r="AB42" s="8"/>
      <c r="AC42" s="8"/>
      <c r="AD42" s="8"/>
      <c r="AE42" s="8"/>
      <c r="AF42" s="8"/>
      <c r="AG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CT42" s="8"/>
      <c r="CU42" s="8"/>
      <c r="CV42" s="8"/>
      <c r="CW42" s="8"/>
      <c r="CX42" s="8"/>
      <c r="CY42" s="8"/>
      <c r="CZ42" s="8"/>
      <c r="DA42" s="8"/>
      <c r="DB42" s="8"/>
      <c r="DC42" s="8"/>
      <c r="DD42" s="8"/>
      <c r="DG42" s="8"/>
      <c r="DH42" s="8"/>
      <c r="DI42" s="8"/>
      <c r="DJ42" s="8"/>
      <c r="DK42" s="8"/>
      <c r="DL42" s="8"/>
      <c r="DM42" s="8"/>
      <c r="DN42" s="8"/>
      <c r="DO42" s="8"/>
      <c r="DP42" s="8"/>
      <c r="DQ42" s="8"/>
      <c r="DS42" s="8"/>
      <c r="DT42" s="8"/>
      <c r="DU42" s="8"/>
      <c r="DV42" s="8"/>
      <c r="DW42" s="8"/>
      <c r="DX42" s="8"/>
      <c r="DZ42" s="8"/>
      <c r="EA42" s="8"/>
      <c r="EC42" s="8"/>
      <c r="ED42" s="8"/>
      <c r="EE42" s="8"/>
      <c r="EF42" s="8"/>
      <c r="EG42" s="8"/>
      <c r="EH42" s="8"/>
      <c r="EI42" s="8"/>
      <c r="EJ42" s="8"/>
      <c r="EK42" s="8"/>
      <c r="EL42" s="8"/>
      <c r="EM42" s="8"/>
      <c r="EN42" s="8"/>
      <c r="EO42" s="8"/>
      <c r="EP42" s="8"/>
      <c r="EQ42" s="8"/>
      <c r="ER42" s="8"/>
      <c r="ES42" s="24"/>
      <c r="ET42" s="24"/>
      <c r="EU42" s="24"/>
      <c r="EV42" s="8"/>
    </row>
    <row r="43" spans="1:193" x14ac:dyDescent="0.55000000000000004">
      <c r="A43" s="225" t="s">
        <v>91</v>
      </c>
      <c r="B43" s="225"/>
      <c r="C43" s="234"/>
      <c r="D43" s="7">
        <f>SUMIF(B5:B39, "&lt;=75",EX$5:EX$39)</f>
        <v>65714.816952022156</v>
      </c>
      <c r="E43" s="7">
        <f>SUMIF($B5:$B39, "&lt;=85",$EX$5:$EX$39)</f>
        <v>174613.21706451429</v>
      </c>
      <c r="F43" s="7">
        <f>SUMIF($B5:$B39, "&lt;=90",$EX$5:$EX$39)</f>
        <v>296132.74673467071</v>
      </c>
      <c r="G43" s="7">
        <f>SUMIF(B5:B39, "&lt;="&amp;G$151,EX$5:EX$39)</f>
        <v>475315.75047026458</v>
      </c>
      <c r="H43" s="8"/>
      <c r="I43" s="8"/>
      <c r="J43" s="8"/>
      <c r="K43" s="8"/>
      <c r="L43" s="8"/>
      <c r="M43" s="8"/>
      <c r="N43" s="8"/>
      <c r="O43" s="8"/>
      <c r="P43" s="8"/>
      <c r="S43" s="222"/>
      <c r="T43" s="222"/>
      <c r="V43" s="8"/>
      <c r="W43" s="8"/>
      <c r="X43" s="8"/>
      <c r="Y43" s="8"/>
      <c r="Z43" s="8"/>
      <c r="AA43" s="8"/>
      <c r="AB43" s="8"/>
      <c r="AC43" s="8"/>
      <c r="AD43" s="8"/>
      <c r="AE43" s="8"/>
      <c r="AF43" s="8"/>
      <c r="AG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CT43" s="8"/>
      <c r="CU43" s="8"/>
      <c r="CV43" s="8"/>
      <c r="CW43" s="8"/>
      <c r="CX43" s="8"/>
      <c r="CY43" s="8"/>
      <c r="CZ43" s="8"/>
      <c r="DA43" s="8"/>
      <c r="DB43" s="8"/>
      <c r="DC43" s="8"/>
      <c r="DD43" s="8"/>
      <c r="DG43" s="8"/>
      <c r="DH43" s="8"/>
      <c r="DI43" s="8"/>
      <c r="DJ43" s="8"/>
      <c r="DK43" s="8"/>
      <c r="DL43" s="8"/>
      <c r="DM43" s="8"/>
      <c r="DN43" s="8"/>
      <c r="DO43" s="8"/>
      <c r="DP43" s="8"/>
      <c r="DQ43" s="8"/>
      <c r="DS43" s="8"/>
      <c r="DT43" s="8"/>
      <c r="DU43" s="8"/>
      <c r="DV43" s="8"/>
      <c r="DW43" s="8"/>
      <c r="DX43" s="8"/>
      <c r="DZ43" s="8"/>
      <c r="EA43" s="8"/>
      <c r="EC43" s="8"/>
      <c r="ED43" s="8"/>
      <c r="EE43" s="8"/>
      <c r="EF43" s="8"/>
      <c r="EG43" s="8"/>
      <c r="EH43" s="8"/>
      <c r="EI43" s="8"/>
      <c r="EJ43" s="8"/>
      <c r="EK43" s="8"/>
      <c r="EL43" s="8"/>
      <c r="EM43" s="8"/>
      <c r="EN43" s="8"/>
      <c r="EO43" s="8"/>
      <c r="EP43" s="8"/>
      <c r="EQ43" s="8"/>
      <c r="ER43" s="8"/>
      <c r="ES43" s="24"/>
      <c r="ET43" s="24"/>
      <c r="EU43" s="24"/>
      <c r="EV43" s="8"/>
    </row>
    <row r="44" spans="1:193" x14ac:dyDescent="0.55000000000000004">
      <c r="A44" s="225" t="s">
        <v>92</v>
      </c>
      <c r="B44" s="225"/>
      <c r="C44" s="234"/>
      <c r="D44" s="7">
        <f>SUMIF($B5:$B39, "&lt;=75",$EY$5:$EY$39)</f>
        <v>57836.862908892406</v>
      </c>
      <c r="E44" s="7">
        <f>SUMIF($B5:$B39, "&lt;=85",$EY$5:$EY$39)</f>
        <v>132606.93867291909</v>
      </c>
      <c r="F44" s="7">
        <f>SUMIF($B5:$B39, "&lt;=90",$EY$5:$EY$39)</f>
        <v>205014.03551644375</v>
      </c>
      <c r="G44" s="7">
        <f>SUMIF(B5:B39, "&lt;="&amp;G$151,EY$5:EY$39)</f>
        <v>301747.06904215325</v>
      </c>
      <c r="H44" s="8"/>
      <c r="I44" s="8"/>
      <c r="J44" s="8"/>
      <c r="K44" s="8"/>
      <c r="L44" s="8"/>
      <c r="M44" s="8"/>
      <c r="N44" s="8"/>
      <c r="O44" s="8"/>
      <c r="P44" s="8"/>
      <c r="S44" s="13"/>
      <c r="T44" s="13"/>
      <c r="U44" s="8"/>
      <c r="V44" s="8"/>
      <c r="W44" s="8"/>
      <c r="X44" s="8"/>
      <c r="Y44" s="8"/>
      <c r="Z44" s="8"/>
      <c r="AA44" s="8"/>
      <c r="AB44" s="8"/>
      <c r="AC44" s="8"/>
      <c r="AD44" s="8"/>
      <c r="AE44" s="8"/>
      <c r="AF44" s="8"/>
      <c r="AG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CT44" s="8"/>
      <c r="CU44" s="8"/>
      <c r="CV44" s="8"/>
      <c r="CW44" s="8"/>
      <c r="CX44" s="8"/>
      <c r="CY44" s="8"/>
      <c r="CZ44" s="8"/>
      <c r="DA44" s="8"/>
      <c r="DB44" s="8"/>
      <c r="DC44" s="8"/>
      <c r="DD44" s="8"/>
      <c r="DG44" s="8"/>
      <c r="DH44" s="8"/>
      <c r="DI44" s="8"/>
      <c r="DJ44" s="8"/>
      <c r="DK44" s="8"/>
      <c r="DL44" s="8"/>
      <c r="DM44" s="8"/>
      <c r="DN44" s="8"/>
      <c r="DO44" s="8"/>
      <c r="DP44" s="8"/>
      <c r="DQ44" s="8"/>
      <c r="DS44" s="8"/>
      <c r="DT44" s="8"/>
      <c r="DU44" s="8"/>
      <c r="DV44" s="8"/>
      <c r="DW44" s="8"/>
      <c r="DX44" s="8"/>
      <c r="DZ44" s="8"/>
      <c r="EA44" s="8"/>
      <c r="EC44" s="8"/>
      <c r="ED44" s="8"/>
      <c r="EE44" s="8"/>
      <c r="EF44" s="8"/>
      <c r="EG44" s="8"/>
      <c r="EH44" s="8"/>
      <c r="EI44" s="8"/>
      <c r="EJ44" s="8"/>
      <c r="EK44" s="8"/>
      <c r="EL44" s="8"/>
      <c r="EM44" s="8"/>
      <c r="EN44" s="8"/>
      <c r="EO44" s="8"/>
      <c r="EP44" s="8"/>
      <c r="EQ44" s="8"/>
      <c r="ER44" s="8"/>
      <c r="ES44" s="24"/>
      <c r="ET44" s="24"/>
      <c r="EU44" s="24"/>
      <c r="EV44" s="8"/>
    </row>
    <row r="45" spans="1:193" x14ac:dyDescent="0.55000000000000004">
      <c r="A45" s="225" t="s">
        <v>151</v>
      </c>
      <c r="B45" s="225"/>
      <c r="C45" s="234"/>
      <c r="D45" s="7">
        <f>_xlfn.XLOOKUP(75,$B$5:$B$39,$AC$5:$AC$39,,0,1)/((1+$G$92)^(_xlfn.XLOOKUP(75,$B$5:$B$39,$A$5:$A$39,,0,1)-$G$126))</f>
        <v>12474.118945858832</v>
      </c>
      <c r="E45" s="7">
        <f>_xlfn.XLOOKUP(85,$B$5:$B$39,$AC$5:$AC$39,,0,1)/((1+$G$92)^(_xlfn.XLOOKUP(85,$B$5:$B$39,$A$5:$A$39,,0,1)-$G$126))</f>
        <v>239223.75533007635</v>
      </c>
      <c r="F45" s="7">
        <f>_xlfn.XLOOKUP(90,$B$5:$B$39,$AC$5:$AC$39,,0,1)/((1+$G$92)^(_xlfn.XLOOKUP(90,$B$5:$B$39,$A$5:$A$39,,0,1)-$G$126))</f>
        <v>420536.13744183804</v>
      </c>
      <c r="G45" s="7">
        <f>_xlfn.XLOOKUP(G$151,B$5:B$39,AC$5:AC$39,,0,1)/((1+$G$92)^(_xlfn.XLOOKUP(G$151,B$5:B$39,A$5:A$39,,0,1)-$G$126))</f>
        <v>665551.65917670948</v>
      </c>
      <c r="H45" s="8"/>
      <c r="I45" s="8"/>
      <c r="J45" s="8"/>
      <c r="K45" s="8"/>
      <c r="L45" s="8"/>
      <c r="M45" s="8"/>
      <c r="N45" s="8"/>
      <c r="O45" s="8"/>
      <c r="P45" s="8"/>
      <c r="S45" s="13"/>
      <c r="T45" s="13"/>
      <c r="U45" s="8"/>
      <c r="V45" s="8"/>
      <c r="W45" s="8"/>
      <c r="X45" s="8"/>
      <c r="Y45" s="8"/>
      <c r="Z45" s="8"/>
      <c r="AA45" s="8"/>
      <c r="AB45" s="8"/>
      <c r="AC45" s="8"/>
      <c r="AD45" s="8"/>
      <c r="AE45" s="8"/>
      <c r="AF45" s="8"/>
      <c r="AG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CT45" s="8"/>
      <c r="CU45" s="8"/>
      <c r="CV45" s="8"/>
      <c r="CW45" s="8"/>
      <c r="CX45" s="8"/>
      <c r="CY45" s="8"/>
      <c r="CZ45" s="8"/>
      <c r="DA45" s="8"/>
      <c r="DB45" s="8"/>
      <c r="DC45" s="8"/>
      <c r="DD45" s="8"/>
      <c r="DG45" s="8"/>
      <c r="DH45" s="8"/>
      <c r="DI45" s="8"/>
      <c r="DJ45" s="8"/>
      <c r="DK45" s="8"/>
      <c r="DL45" s="8"/>
      <c r="DM45" s="8"/>
      <c r="DN45" s="8"/>
      <c r="DO45" s="8"/>
      <c r="DP45" s="8"/>
      <c r="DQ45" s="8"/>
      <c r="DS45" s="8"/>
      <c r="DT45" s="8"/>
      <c r="DU45" s="8"/>
      <c r="DV45" s="8"/>
      <c r="DW45" s="8"/>
      <c r="DX45" s="8"/>
      <c r="DZ45" s="8"/>
      <c r="EA45" s="8"/>
      <c r="EC45" s="8"/>
      <c r="ED45" s="8"/>
      <c r="EE45" s="8"/>
      <c r="EF45" s="8"/>
      <c r="EG45" s="8"/>
      <c r="EH45" s="8"/>
      <c r="EI45" s="8"/>
      <c r="EJ45" s="8"/>
      <c r="EK45" s="8"/>
      <c r="EL45" s="8"/>
      <c r="EM45" s="8"/>
      <c r="EN45" s="8"/>
      <c r="EO45" s="8"/>
      <c r="EP45" s="8"/>
      <c r="EQ45" s="8"/>
      <c r="ER45" s="8"/>
      <c r="ES45" s="24"/>
      <c r="ET45" s="24"/>
      <c r="EU45" s="24"/>
      <c r="EV45" s="8"/>
    </row>
    <row r="46" spans="1:193" x14ac:dyDescent="0.55000000000000004">
      <c r="A46" s="225" t="s">
        <v>51</v>
      </c>
      <c r="B46" s="225"/>
      <c r="C46" s="234"/>
      <c r="D46" s="7">
        <f>_xlfn.XLOOKUP(75,$B$5:$B$39,$AD$5:$AD$39,,0,1)/((1+$G$92)^(_xlfn.XLOOKUP(75,$B$5:$B$39,$A$5:$A$39,,0,1)-$G$126))</f>
        <v>0</v>
      </c>
      <c r="E46" s="7">
        <f>_xlfn.XLOOKUP(85,$B$5:$B$39,$AD$5:$AD$39,,0,1)/((1+$G$92)^(_xlfn.XLOOKUP(85,$B$5:$B$39,$A$5:$A$39,,0,1)-$G$126))</f>
        <v>0</v>
      </c>
      <c r="F46" s="7">
        <f>_xlfn.XLOOKUP(90,$B$5:$B$39,$AD$5:$AD$39,,0,1)/((1+$G$92)^(_xlfn.XLOOKUP(90,$B$5:$B$39,$A$5:$A$39,,0,1)-$G$126))</f>
        <v>0</v>
      </c>
      <c r="G46" s="7">
        <f>_xlfn.XLOOKUP(G$151,B$5:B$39,AD$5:AD$39,,0,1)/((1+$G$92)^(_xlfn.XLOOKUP(G$151,B$5:B$39,A$5:A$39,,0,1)-$G$126))</f>
        <v>0</v>
      </c>
      <c r="H46" s="8"/>
      <c r="I46" s="8"/>
      <c r="J46" s="8"/>
      <c r="K46" s="8"/>
      <c r="L46" s="8"/>
      <c r="M46" s="8"/>
      <c r="N46" s="8"/>
      <c r="O46" s="8"/>
      <c r="P46" s="8"/>
      <c r="S46" s="13"/>
      <c r="T46" s="13"/>
      <c r="U46" s="8"/>
      <c r="V46" s="8"/>
      <c r="W46" s="8"/>
      <c r="X46" s="8"/>
      <c r="Y46" s="8"/>
      <c r="Z46" s="8"/>
      <c r="AA46" s="8"/>
      <c r="AB46" s="8"/>
      <c r="AC46" s="8"/>
      <c r="AD46" s="8"/>
      <c r="AE46" s="8"/>
      <c r="AF46" s="8"/>
      <c r="AG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CT46" s="8"/>
      <c r="CU46" s="8"/>
      <c r="CV46" s="8"/>
      <c r="CW46" s="8"/>
      <c r="CX46" s="8"/>
      <c r="CY46" s="8"/>
      <c r="CZ46" s="8"/>
      <c r="DA46" s="8"/>
      <c r="DB46" s="8"/>
      <c r="DC46" s="8"/>
      <c r="DD46" s="8"/>
      <c r="DG46" s="8"/>
      <c r="DH46" s="8"/>
      <c r="DI46" s="8"/>
      <c r="DJ46" s="8"/>
      <c r="DK46" s="8"/>
      <c r="DL46" s="8"/>
      <c r="DM46" s="8"/>
      <c r="DN46" s="8"/>
      <c r="DO46" s="8"/>
      <c r="DP46" s="8"/>
      <c r="DQ46" s="8"/>
      <c r="DS46" s="8"/>
      <c r="DT46" s="8"/>
      <c r="DU46" s="8"/>
      <c r="DV46" s="8"/>
      <c r="DW46" s="8"/>
      <c r="DX46" s="8"/>
      <c r="DZ46" s="8"/>
      <c r="EA46" s="8"/>
      <c r="EC46" s="8"/>
      <c r="ED46" s="8"/>
      <c r="EE46" s="8"/>
      <c r="EF46" s="8"/>
      <c r="EG46" s="8"/>
      <c r="EH46" s="8"/>
      <c r="EI46" s="8"/>
      <c r="EJ46" s="8"/>
      <c r="EK46" s="8"/>
      <c r="EL46" s="8"/>
      <c r="EM46" s="8"/>
      <c r="EN46" s="8"/>
      <c r="EO46" s="8"/>
      <c r="EP46" s="8"/>
      <c r="EQ46" s="8"/>
      <c r="ER46" s="8"/>
      <c r="ES46" s="24"/>
      <c r="ET46" s="24"/>
      <c r="EU46" s="24"/>
      <c r="EV46" s="8"/>
    </row>
    <row r="47" spans="1:193" x14ac:dyDescent="0.55000000000000004">
      <c r="A47" s="224" t="s">
        <v>52</v>
      </c>
      <c r="B47" s="225"/>
      <c r="C47" s="234"/>
      <c r="D47" s="7">
        <f>_xlfn.XLOOKUP(75,$B$5:$B$39,$AE$5:$AE$39,,0,1)/((1+$G$92)^(_xlfn.XLOOKUP(75,$B$5:$B$39,A$5:A$39,,0,1)-$G$126))</f>
        <v>684966.57929612917</v>
      </c>
      <c r="E47" s="7">
        <f>_xlfn.XLOOKUP(85,$B$5:$B$39,$AE$5:$AE$39,,0,1)/((1+$G$92)^(_xlfn.XLOOKUP(85,$B$5:$B$39,$A$5:$A$39,,0,1)-$G$126))</f>
        <v>690685.78341742407</v>
      </c>
      <c r="F47" s="7">
        <f>_xlfn.XLOOKUP(90,$B$5:$B$39,$AE$5:$AE$39,,0,1)/((1+$G$92)^(_xlfn.XLOOKUP(90,$B$5:$B$39,$A$5:$A$39,,0,1)-$G$126))</f>
        <v>618471.92356534104</v>
      </c>
      <c r="G47" s="7">
        <f>_xlfn.XLOOKUP(G$151,B$5:B$39,AE$5:AE$39,,0,1)/((1+$G$92)^(_xlfn.XLOOKUP(G$151,B$5:B$39,A$5:A$39,,0,1)-$G$126))</f>
        <v>483638.45233077806</v>
      </c>
      <c r="H47" s="8"/>
      <c r="I47" s="8"/>
      <c r="J47" s="8"/>
      <c r="K47" s="8"/>
      <c r="L47" s="8"/>
      <c r="M47" s="8"/>
      <c r="N47" s="8"/>
      <c r="O47" s="8"/>
      <c r="P47" s="8"/>
      <c r="S47" s="13"/>
      <c r="T47" s="13"/>
      <c r="U47" s="8"/>
      <c r="V47" s="8"/>
      <c r="W47" s="8"/>
      <c r="X47" s="8"/>
      <c r="Y47" s="8"/>
      <c r="Z47" s="8"/>
      <c r="AA47" s="8"/>
      <c r="AB47" s="8"/>
      <c r="AC47" s="8"/>
      <c r="AD47" s="8"/>
      <c r="AE47" s="8"/>
      <c r="AF47" s="8"/>
      <c r="AG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CT47" s="8"/>
      <c r="CU47" s="8"/>
      <c r="CV47" s="8"/>
      <c r="CW47" s="8"/>
      <c r="CX47" s="8"/>
      <c r="CY47" s="8"/>
      <c r="CZ47" s="8"/>
      <c r="DA47" s="8"/>
      <c r="DB47" s="8"/>
      <c r="DC47" s="8"/>
      <c r="DD47" s="8"/>
      <c r="DG47" s="8"/>
      <c r="DH47" s="8"/>
      <c r="DI47" s="8"/>
      <c r="DJ47" s="8"/>
      <c r="DK47" s="8"/>
      <c r="DL47" s="8"/>
      <c r="DM47" s="8"/>
      <c r="DN47" s="8"/>
      <c r="DO47" s="8"/>
      <c r="DP47" s="8"/>
      <c r="DQ47" s="8"/>
      <c r="DS47" s="8"/>
      <c r="DT47" s="8"/>
      <c r="DU47" s="8"/>
      <c r="DV47" s="8"/>
      <c r="DW47" s="8"/>
      <c r="DX47" s="8"/>
      <c r="DZ47" s="8"/>
      <c r="EA47" s="8"/>
      <c r="EC47" s="8"/>
      <c r="ED47" s="8"/>
      <c r="EE47" s="8"/>
      <c r="EF47" s="8"/>
      <c r="EG47" s="8"/>
      <c r="EH47" s="8"/>
      <c r="EI47" s="8"/>
      <c r="EJ47" s="8"/>
      <c r="EK47" s="8"/>
      <c r="EL47" s="8"/>
      <c r="EM47" s="8"/>
      <c r="EN47" s="8"/>
      <c r="EO47" s="8"/>
      <c r="EP47" s="8"/>
      <c r="EQ47" s="8"/>
      <c r="ER47" s="8"/>
      <c r="ES47" s="24"/>
      <c r="ET47" s="24"/>
      <c r="EU47" s="24"/>
      <c r="EV47" s="8"/>
    </row>
    <row r="48" spans="1:193" x14ac:dyDescent="0.55000000000000004">
      <c r="A48" s="224" t="s">
        <v>716</v>
      </c>
      <c r="B48" s="225"/>
      <c r="C48" s="234"/>
      <c r="D48" s="7">
        <f>D45+D46+D47</f>
        <v>697440.69824198796</v>
      </c>
      <c r="E48" s="7">
        <f>E45+E46+E47</f>
        <v>929909.5387475004</v>
      </c>
      <c r="F48" s="7">
        <f>F45+F46+F47</f>
        <v>1039008.0610071791</v>
      </c>
      <c r="G48" s="7">
        <f>G45+G46+G47</f>
        <v>1149190.1115074875</v>
      </c>
      <c r="H48" s="8"/>
      <c r="I48" s="8"/>
      <c r="J48" s="8"/>
      <c r="K48" s="8"/>
      <c r="L48" s="8"/>
      <c r="M48" s="8"/>
      <c r="N48" s="8"/>
      <c r="O48" s="8"/>
      <c r="P48" s="8"/>
      <c r="S48" s="13"/>
      <c r="T48" s="13"/>
      <c r="U48" s="8"/>
      <c r="V48" s="8"/>
      <c r="W48" s="8"/>
      <c r="X48" s="8"/>
      <c r="Y48" s="8"/>
      <c r="Z48" s="8"/>
      <c r="AA48" s="8"/>
      <c r="AB48" s="8"/>
      <c r="AC48" s="8"/>
      <c r="AD48" s="8"/>
      <c r="AE48" s="8"/>
      <c r="AF48" s="8"/>
      <c r="AG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CT48" s="8"/>
      <c r="CU48" s="8"/>
      <c r="CV48" s="8"/>
      <c r="CW48" s="8"/>
      <c r="CX48" s="8"/>
      <c r="CY48" s="8"/>
      <c r="CZ48" s="8"/>
      <c r="DA48" s="8"/>
      <c r="DB48" s="8"/>
      <c r="DC48" s="8"/>
      <c r="DD48" s="8"/>
      <c r="DG48" s="8"/>
      <c r="DH48" s="8"/>
      <c r="DI48" s="8"/>
      <c r="DJ48" s="8"/>
      <c r="DK48" s="8"/>
      <c r="DL48" s="8"/>
      <c r="DM48" s="8"/>
      <c r="DN48" s="8"/>
      <c r="DO48" s="8"/>
      <c r="DP48" s="8"/>
      <c r="DQ48" s="8"/>
      <c r="DS48" s="8"/>
      <c r="DT48" s="8"/>
      <c r="DU48" s="8"/>
      <c r="DV48" s="8"/>
      <c r="DW48" s="8"/>
      <c r="DX48" s="8"/>
      <c r="DZ48" s="8"/>
      <c r="EA48" s="8"/>
      <c r="EC48" s="8"/>
      <c r="ED48" s="8"/>
      <c r="EE48" s="8"/>
      <c r="EF48" s="8"/>
      <c r="EG48" s="8"/>
      <c r="EH48" s="8"/>
      <c r="EI48" s="8"/>
      <c r="EJ48" s="8"/>
      <c r="EK48" s="8"/>
      <c r="EL48" s="8"/>
      <c r="EM48" s="8"/>
      <c r="EN48" s="8"/>
      <c r="EO48" s="8"/>
      <c r="EP48" s="8"/>
      <c r="EQ48" s="8"/>
      <c r="ER48" s="8"/>
      <c r="ES48" s="24"/>
      <c r="ET48" s="24"/>
      <c r="EU48" s="24"/>
      <c r="EV48" s="8"/>
    </row>
    <row r="49" spans="1:193" x14ac:dyDescent="0.55000000000000004">
      <c r="A49" s="224" t="s">
        <v>90</v>
      </c>
      <c r="B49" s="225"/>
      <c r="C49" s="234"/>
      <c r="D49" s="7">
        <f>SUMIF($B5:$B39, "&lt;=75", $FC$5:$FC$39)</f>
        <v>770561.26485079783</v>
      </c>
      <c r="E49" s="7">
        <f>SUMIF($B5:$B39, "&lt;=85", $FC5:$FC39)</f>
        <v>1320735.7326543531</v>
      </c>
      <c r="F49" s="7">
        <f>SUMIF($B5:$B39, "&lt;=90", $FC5:$FC39)</f>
        <v>1540869.3739601991</v>
      </c>
      <c r="G49" s="7">
        <f>SUMIF(B5:B39, "&lt;="&amp;$G$151, FC5:FC39)</f>
        <v>1760927.1079714273</v>
      </c>
      <c r="H49" s="8"/>
      <c r="I49" s="8"/>
      <c r="J49" s="8"/>
      <c r="K49" s="8"/>
      <c r="L49" s="8"/>
      <c r="M49" s="8"/>
      <c r="N49" s="8"/>
      <c r="O49" s="8"/>
      <c r="P49" s="8"/>
      <c r="S49" s="13"/>
      <c r="T49" s="13"/>
      <c r="U49" s="8"/>
      <c r="V49" s="8"/>
      <c r="W49" s="8"/>
      <c r="X49" s="8"/>
      <c r="Y49" s="8"/>
      <c r="Z49" s="8"/>
      <c r="AA49" s="8"/>
      <c r="AB49" s="8"/>
      <c r="AC49" s="8"/>
      <c r="AD49" s="8"/>
      <c r="AE49" s="8"/>
      <c r="AF49" s="8"/>
      <c r="AG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CT49" s="8"/>
      <c r="CU49" s="8"/>
      <c r="CV49" s="8"/>
      <c r="CW49" s="8"/>
      <c r="CX49" s="8"/>
      <c r="CY49" s="8"/>
      <c r="CZ49" s="8"/>
      <c r="DA49" s="8"/>
      <c r="DB49" s="8"/>
      <c r="DC49" s="8"/>
      <c r="DD49" s="8"/>
      <c r="DG49" s="8"/>
      <c r="DH49" s="8"/>
      <c r="DI49" s="8"/>
      <c r="DJ49" s="8"/>
      <c r="DK49" s="8"/>
      <c r="DL49" s="8"/>
      <c r="DM49" s="8"/>
      <c r="DN49" s="8"/>
      <c r="DO49" s="8"/>
      <c r="DP49" s="8"/>
      <c r="DQ49" s="8"/>
      <c r="DS49" s="8"/>
      <c r="DT49" s="8"/>
      <c r="DU49" s="8"/>
      <c r="DV49" s="8"/>
      <c r="DW49" s="8"/>
      <c r="DX49" s="8"/>
      <c r="DZ49" s="8"/>
      <c r="EA49" s="8"/>
      <c r="EC49" s="8"/>
      <c r="ED49" s="8"/>
      <c r="EE49" s="8"/>
      <c r="EF49" s="8"/>
      <c r="EG49" s="8"/>
      <c r="EH49" s="8"/>
      <c r="EI49" s="8"/>
      <c r="EJ49" s="8"/>
      <c r="EK49" s="8"/>
      <c r="EL49" s="8"/>
      <c r="EM49" s="8"/>
      <c r="EN49" s="8"/>
      <c r="EO49" s="8"/>
      <c r="EP49" s="8"/>
      <c r="EQ49" s="8"/>
      <c r="ER49" s="8"/>
      <c r="ES49" s="24"/>
      <c r="ET49" s="24"/>
      <c r="EU49" s="24"/>
      <c r="EV49" s="8"/>
    </row>
    <row r="50" spans="1:193" x14ac:dyDescent="0.55000000000000004">
      <c r="A50" s="224" t="s">
        <v>714</v>
      </c>
      <c r="B50" s="225"/>
      <c r="C50" s="234"/>
      <c r="D50" s="7" cm="1">
        <f t="array" ref="D50">_xlfn.XLOOKUP(75,$B$5:B$39,$AM$5:$AM$39,,0,1)</f>
        <v>587846.04555460718</v>
      </c>
      <c r="E50" s="7">
        <f>_xlfn.XLOOKUP(85,$B$5:$B$39,$AM$5:$AM$39,,0,1)</f>
        <v>819399.81340071256</v>
      </c>
      <c r="F50" s="7">
        <f>_xlfn.XLOOKUP(90,$B$5:$B$39,$AM$5:$AM$39,,0,1)</f>
        <v>940052.55323672446</v>
      </c>
      <c r="G50" s="7">
        <f>_xlfn.XLOOKUP(G$151,B$5:B$39,AM$5:AM$39,,0,1)</f>
        <v>1071807.9591345631</v>
      </c>
      <c r="H50" s="8"/>
      <c r="I50" s="8"/>
      <c r="J50" s="8"/>
      <c r="K50" s="8"/>
      <c r="L50" s="8"/>
      <c r="M50" s="8"/>
      <c r="N50" s="8"/>
      <c r="O50" s="8"/>
      <c r="P50" s="8"/>
      <c r="S50" s="13"/>
      <c r="T50" s="13"/>
      <c r="U50" s="8"/>
      <c r="V50" s="8"/>
      <c r="W50" s="8"/>
      <c r="X50" s="8"/>
      <c r="Y50" s="8"/>
      <c r="Z50" s="8"/>
      <c r="AA50" s="8"/>
      <c r="AB50" s="8"/>
      <c r="AC50" s="8"/>
      <c r="AD50" s="8"/>
      <c r="AE50" s="8"/>
      <c r="AF50" s="8"/>
      <c r="AG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CT50" s="8"/>
      <c r="CU50" s="8"/>
      <c r="CV50" s="8"/>
      <c r="CW50" s="8"/>
      <c r="CX50" s="8"/>
      <c r="CY50" s="8"/>
      <c r="CZ50" s="8"/>
      <c r="DA50" s="8"/>
      <c r="DB50" s="8"/>
      <c r="DC50" s="8"/>
      <c r="DD50" s="8"/>
      <c r="DG50" s="8"/>
      <c r="DH50" s="8"/>
      <c r="DI50" s="8"/>
      <c r="DJ50" s="8"/>
      <c r="DK50" s="8"/>
      <c r="DL50" s="8"/>
      <c r="DM50" s="8"/>
      <c r="DN50" s="8"/>
      <c r="DO50" s="8"/>
      <c r="DP50" s="8"/>
      <c r="DQ50" s="8"/>
      <c r="DS50" s="8"/>
      <c r="DT50" s="8"/>
      <c r="DU50" s="8"/>
      <c r="DV50" s="8"/>
      <c r="DW50" s="8"/>
      <c r="DX50" s="8"/>
      <c r="DZ50" s="8"/>
      <c r="EA50" s="8"/>
      <c r="EC50" s="8"/>
      <c r="ED50" s="8"/>
      <c r="EE50" s="8"/>
      <c r="EF50" s="8"/>
      <c r="EG50" s="8"/>
      <c r="EH50" s="8"/>
      <c r="EI50" s="8"/>
      <c r="EJ50" s="8"/>
      <c r="EK50" s="8"/>
      <c r="EL50" s="8"/>
      <c r="EM50" s="8"/>
      <c r="EN50" s="8"/>
      <c r="EO50" s="8"/>
      <c r="EP50" s="8"/>
      <c r="EQ50" s="8"/>
      <c r="ER50" s="8"/>
      <c r="ES50" s="24"/>
      <c r="ET50" s="24"/>
      <c r="EU50" s="24"/>
      <c r="EV50" s="8"/>
    </row>
    <row r="51" spans="1:193" x14ac:dyDescent="0.55000000000000004">
      <c r="A51" s="224" t="s">
        <v>53</v>
      </c>
      <c r="B51" s="225"/>
      <c r="C51" s="234"/>
      <c r="D51" s="7">
        <f>D49+D50</f>
        <v>1358407.310405405</v>
      </c>
      <c r="E51" s="7">
        <f>E49+E50</f>
        <v>2140135.5460550655</v>
      </c>
      <c r="F51" s="7">
        <f>F49+F50</f>
        <v>2480921.9271969236</v>
      </c>
      <c r="G51" s="7">
        <f>G49+G50</f>
        <v>2832735.0671059904</v>
      </c>
      <c r="H51" s="8"/>
      <c r="I51" s="8"/>
      <c r="J51" s="8"/>
      <c r="K51" s="8"/>
      <c r="L51" s="8"/>
      <c r="M51" s="8"/>
      <c r="N51" s="8"/>
      <c r="O51" s="8"/>
      <c r="P51" s="8"/>
      <c r="S51" s="13"/>
      <c r="T51" s="13"/>
      <c r="U51" s="8"/>
      <c r="V51" s="8"/>
      <c r="W51" s="8"/>
      <c r="X51" s="8"/>
      <c r="Y51" s="8"/>
      <c r="Z51" s="8"/>
      <c r="AA51" s="8"/>
      <c r="AB51" s="8"/>
      <c r="AC51" s="8"/>
      <c r="AD51" s="8"/>
      <c r="AE51" s="8"/>
      <c r="AF51" s="8"/>
      <c r="AG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CT51" s="8"/>
      <c r="CU51" s="8"/>
      <c r="CV51" s="8"/>
      <c r="CW51" s="8"/>
      <c r="CX51" s="8"/>
      <c r="CY51" s="8"/>
      <c r="CZ51" s="8"/>
      <c r="DA51" s="8"/>
      <c r="DB51" s="8"/>
      <c r="DC51" s="8"/>
      <c r="DD51" s="8"/>
      <c r="DG51" s="8"/>
      <c r="DH51" s="8"/>
      <c r="DI51" s="8"/>
      <c r="DJ51" s="8"/>
      <c r="DK51" s="8"/>
      <c r="DL51" s="8"/>
      <c r="DM51" s="8"/>
      <c r="DN51" s="8"/>
      <c r="DO51" s="8"/>
      <c r="DP51" s="8"/>
      <c r="DQ51" s="8"/>
      <c r="DS51" s="8"/>
      <c r="DT51" s="8"/>
      <c r="DU51" s="8"/>
      <c r="DV51" s="8"/>
      <c r="DW51" s="8"/>
      <c r="DX51" s="8"/>
      <c r="DZ51" s="8"/>
      <c r="EA51" s="8"/>
      <c r="EC51" s="8"/>
      <c r="ED51" s="8"/>
      <c r="EE51" s="8"/>
      <c r="EF51" s="8"/>
      <c r="EG51" s="8"/>
      <c r="EH51" s="8"/>
      <c r="EI51" s="8"/>
      <c r="EJ51" s="8"/>
      <c r="EK51" s="8"/>
      <c r="EL51" s="8"/>
      <c r="EM51" s="8"/>
      <c r="EN51" s="8"/>
      <c r="EO51" s="8"/>
      <c r="EP51" s="8"/>
      <c r="EQ51" s="8"/>
      <c r="ER51" s="8"/>
      <c r="ES51" s="24"/>
      <c r="ET51" s="24"/>
      <c r="EU51" s="24"/>
      <c r="EV51" s="8"/>
    </row>
    <row r="52" spans="1:193" x14ac:dyDescent="0.55000000000000004">
      <c r="A52" s="224" t="s">
        <v>93</v>
      </c>
      <c r="B52" s="225"/>
      <c r="C52" s="234"/>
      <c r="D52" s="36">
        <f>_xlfn.MAXIFS($EZ5:$EZ39,$B5:$B39,"&lt;=75")</f>
        <v>0.16999999999999998</v>
      </c>
      <c r="E52" s="36">
        <f>_xlfn.MAXIFS($EZ5:$EZ39,$B5:$B39,"&lt;=85")</f>
        <v>0.16999999999999998</v>
      </c>
      <c r="F52" s="36">
        <f>_xlfn.MAXIFS($EZ5:$EZ39,$B5:$B39,"&lt;=90")</f>
        <v>0.27</v>
      </c>
      <c r="G52" s="36">
        <f>_xlfn.MAXIFS(EZ5:EZ39,B5:B39,"&lt;="&amp;G$151)</f>
        <v>0.27</v>
      </c>
      <c r="H52" s="8"/>
      <c r="I52" s="8"/>
      <c r="J52" s="8"/>
      <c r="K52" s="8"/>
      <c r="L52" s="8"/>
      <c r="M52" s="8"/>
      <c r="N52" s="8"/>
      <c r="O52" s="8"/>
      <c r="P52" s="8"/>
      <c r="S52" s="13"/>
      <c r="T52" s="13"/>
      <c r="U52" s="8"/>
      <c r="V52" s="8"/>
      <c r="W52" s="8"/>
      <c r="X52" s="8"/>
      <c r="Y52" s="8"/>
      <c r="Z52" s="8"/>
      <c r="AA52" s="8"/>
      <c r="AB52" s="8"/>
      <c r="AC52" s="8"/>
      <c r="AD52" s="8"/>
      <c r="AE52" s="8"/>
      <c r="AF52" s="8"/>
      <c r="AG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CT52" s="8"/>
      <c r="CU52" s="8"/>
      <c r="CV52" s="8"/>
      <c r="CW52" s="8"/>
      <c r="CX52" s="8"/>
      <c r="CY52" s="8"/>
      <c r="CZ52" s="8"/>
      <c r="DA52" s="8"/>
      <c r="DB52" s="8"/>
      <c r="DC52" s="8"/>
      <c r="DD52" s="8"/>
      <c r="DG52" s="8"/>
      <c r="DH52" s="8"/>
      <c r="DI52" s="8"/>
      <c r="DJ52" s="8"/>
      <c r="DK52" s="8"/>
      <c r="DL52" s="8"/>
      <c r="DM52" s="8"/>
      <c r="DN52" s="8"/>
      <c r="DO52" s="8"/>
      <c r="DP52" s="8"/>
      <c r="DQ52" s="8"/>
      <c r="DS52" s="8"/>
      <c r="DT52" s="8"/>
      <c r="DU52" s="8"/>
      <c r="DV52" s="8"/>
      <c r="DW52" s="8"/>
      <c r="DX52" s="8"/>
      <c r="DZ52" s="8"/>
      <c r="EA52" s="8"/>
      <c r="EC52" s="8"/>
      <c r="ED52" s="8"/>
      <c r="EE52" s="8"/>
      <c r="EF52" s="8"/>
      <c r="EG52" s="8"/>
      <c r="EH52" s="8"/>
      <c r="EI52" s="8"/>
      <c r="EJ52" s="8"/>
      <c r="EK52" s="8"/>
      <c r="EL52" s="8"/>
      <c r="EM52" s="8"/>
      <c r="EN52" s="8"/>
      <c r="EO52" s="8"/>
      <c r="EP52" s="8"/>
      <c r="EQ52" s="8"/>
      <c r="ER52" s="8"/>
      <c r="ES52" s="24"/>
      <c r="ET52" s="24"/>
      <c r="EU52" s="24"/>
      <c r="EV52" s="8"/>
    </row>
    <row r="53" spans="1:193" s="45" customFormat="1" x14ac:dyDescent="0.55000000000000004">
      <c r="A53" s="225" t="s">
        <v>724</v>
      </c>
      <c r="B53" s="225"/>
      <c r="C53" s="234"/>
      <c r="D53" s="7">
        <f>_xlfn.XLOOKUP(75,$B$5:$B$39,$AC$5:$AC$39,,0,1)+_xlfn.XLOOKUP(75,$B$5:$B$39,$AD$5:$AD$39,,0,1)+_xlfn.XLOOKUP(75,$B$5:$B$39,$AE$5:$AE$39,,0,1)</f>
        <v>902213.91159416083</v>
      </c>
      <c r="E53" s="7">
        <f>_xlfn.XLOOKUP(85,$B$5:$B$39,$AC$5:$AC$39,,0,1)+_xlfn.XLOOKUP(85,$B$5:$B$39,$AD$5:$AD$39,,0,1)+_xlfn.XLOOKUP(85,$B$5:$B$39,$AE$5:$AE$39,,0,1)</f>
        <v>1466373.667415495</v>
      </c>
      <c r="F53" s="7">
        <f>_xlfn.XLOOKUP(90,$B$5:$B$39,$AC$5:$AC$39,,0,1)+_xlfn.XLOOKUP(90,$B$5:$B$39,$AD$5:$AD$39,,0,1)+_xlfn.XLOOKUP(90,$B$5:$B$39,$AE$5:$AE$39,,0,1)</f>
        <v>1808938.184623335</v>
      </c>
      <c r="G53" s="7">
        <f>_xlfn.XLOOKUP(G$151,B$5:B$39,AC$5:AC$39,,0,1)+_xlfn.XLOOKUP(G$151,B$5:B$39,AD$5:AD$39,,0,1)+_xlfn.XLOOKUP(G$151,B$5:B$39,AE$5:AE$39,,0,1)</f>
        <v>2209009.321440625</v>
      </c>
      <c r="H53" s="8"/>
      <c r="I53" s="8"/>
      <c r="J53" s="8"/>
      <c r="K53" s="8"/>
      <c r="L53" s="8"/>
      <c r="M53" s="8"/>
      <c r="N53" s="8"/>
      <c r="O53" s="8"/>
      <c r="P53" s="8"/>
      <c r="Q53" s="135"/>
      <c r="R53" s="135"/>
      <c r="S53" s="13"/>
      <c r="T53" s="13"/>
      <c r="U53" s="8"/>
      <c r="V53" s="8"/>
      <c r="W53" s="8"/>
      <c r="X53" s="8"/>
      <c r="Y53" s="8"/>
      <c r="Z53" s="8"/>
      <c r="AA53" s="8"/>
      <c r="AB53" s="8"/>
      <c r="AC53" s="8"/>
      <c r="AD53" s="8"/>
      <c r="AE53" s="8"/>
      <c r="AF53" s="8"/>
      <c r="AG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65"/>
      <c r="BW53" s="65"/>
      <c r="BX53" s="65"/>
      <c r="BY53" s="65"/>
      <c r="BZ53" s="65"/>
      <c r="CA53" s="65"/>
      <c r="CB53" s="65"/>
      <c r="CC53" s="65"/>
      <c r="CD53" s="65"/>
      <c r="CE53" s="65"/>
      <c r="CF53" s="65"/>
      <c r="CG53" s="65"/>
      <c r="CH53" s="65"/>
      <c r="CI53" s="65"/>
      <c r="CJ53" s="65"/>
      <c r="CK53" s="65"/>
      <c r="CL53" s="65"/>
      <c r="CM53" s="65"/>
      <c r="CN53" s="65"/>
      <c r="CO53" s="65"/>
      <c r="CP53" s="65"/>
      <c r="CQ53" s="65"/>
      <c r="CR53" s="65"/>
      <c r="CS53" s="65"/>
      <c r="CT53" s="8"/>
      <c r="CU53" s="8"/>
      <c r="CV53" s="8"/>
      <c r="CW53" s="8"/>
      <c r="CX53" s="8"/>
      <c r="CY53" s="8"/>
      <c r="CZ53" s="8"/>
      <c r="DA53" s="8"/>
      <c r="DB53" s="8"/>
      <c r="DC53" s="8"/>
      <c r="DD53" s="8"/>
      <c r="DG53" s="8"/>
      <c r="DH53" s="8"/>
      <c r="DI53" s="8"/>
      <c r="DJ53" s="8"/>
      <c r="DK53" s="8"/>
      <c r="DL53" s="8"/>
      <c r="DM53" s="8"/>
      <c r="DN53" s="8"/>
      <c r="DO53" s="8"/>
      <c r="DP53" s="8"/>
      <c r="DQ53" s="8"/>
      <c r="DS53" s="8"/>
      <c r="DT53" s="8"/>
      <c r="DU53" s="8"/>
      <c r="DV53" s="8"/>
      <c r="DW53" s="8"/>
      <c r="DX53" s="8"/>
      <c r="DY53" s="208"/>
      <c r="DZ53" s="8"/>
      <c r="EA53" s="8"/>
      <c r="EB53" s="65"/>
      <c r="EC53" s="8"/>
      <c r="ED53" s="8"/>
      <c r="EE53" s="8"/>
      <c r="EF53" s="8"/>
      <c r="EG53" s="8"/>
      <c r="EH53" s="8"/>
      <c r="EI53" s="8"/>
      <c r="EJ53" s="8"/>
      <c r="EK53" s="8"/>
      <c r="EL53" s="8"/>
      <c r="EM53" s="8"/>
      <c r="EN53" s="8"/>
      <c r="EO53" s="8"/>
      <c r="EP53" s="8"/>
      <c r="EQ53" s="8"/>
      <c r="ER53" s="8"/>
      <c r="ES53" s="24"/>
      <c r="ET53" s="24"/>
      <c r="EU53" s="24"/>
      <c r="EV53" s="8"/>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s="8"/>
      <c r="GJ53" s="8"/>
      <c r="GK53" s="8"/>
    </row>
    <row r="54" spans="1:193" s="45" customFormat="1" x14ac:dyDescent="0.55000000000000004">
      <c r="A54" s="224" t="s">
        <v>71</v>
      </c>
      <c r="B54" s="225"/>
      <c r="C54" s="234"/>
      <c r="D54" s="36">
        <f>$D$46/$D$50</f>
        <v>0</v>
      </c>
      <c r="E54" s="36">
        <f>$E$46/$E$50</f>
        <v>0</v>
      </c>
      <c r="F54" s="36">
        <f>F$46/F$50</f>
        <v>0</v>
      </c>
      <c r="G54" s="36">
        <f>$G$46/$G$50</f>
        <v>0</v>
      </c>
      <c r="H54" s="8"/>
      <c r="I54" s="8"/>
      <c r="J54" s="8"/>
      <c r="K54" s="8"/>
      <c r="L54" s="8"/>
      <c r="M54" s="8"/>
      <c r="N54" s="8"/>
      <c r="O54" s="8"/>
      <c r="P54" s="8"/>
      <c r="Q54" s="135"/>
      <c r="R54" s="135"/>
      <c r="S54" s="13"/>
      <c r="T54" s="13"/>
      <c r="U54" s="8"/>
      <c r="V54" s="8"/>
      <c r="W54" s="8"/>
      <c r="X54" s="8"/>
      <c r="Y54" s="8"/>
      <c r="Z54" s="8"/>
      <c r="AA54" s="8"/>
      <c r="AB54" s="8"/>
      <c r="AC54" s="8"/>
      <c r="AD54" s="8"/>
      <c r="AE54" s="8"/>
      <c r="AF54" s="8"/>
      <c r="AG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65"/>
      <c r="BW54" s="65"/>
      <c r="BX54" s="65"/>
      <c r="BY54" s="65"/>
      <c r="BZ54" s="65"/>
      <c r="CA54" s="65"/>
      <c r="CB54" s="65"/>
      <c r="CC54" s="65"/>
      <c r="CD54" s="65"/>
      <c r="CE54" s="65"/>
      <c r="CF54" s="65"/>
      <c r="CG54" s="65"/>
      <c r="CH54" s="65"/>
      <c r="CI54" s="65"/>
      <c r="CJ54" s="65"/>
      <c r="CK54" s="65"/>
      <c r="CL54" s="65"/>
      <c r="CM54" s="65"/>
      <c r="CN54" s="65"/>
      <c r="CO54" s="65"/>
      <c r="CP54" s="65"/>
      <c r="CQ54" s="65"/>
      <c r="CR54" s="65"/>
      <c r="CS54" s="65"/>
      <c r="CT54" s="8"/>
      <c r="CU54" s="8"/>
      <c r="CV54" s="8"/>
      <c r="CW54" s="8"/>
      <c r="CX54" s="8"/>
      <c r="CY54" s="8"/>
      <c r="CZ54" s="8"/>
      <c r="DA54" s="8"/>
      <c r="DB54" s="8"/>
      <c r="DC54" s="8"/>
      <c r="DD54" s="8"/>
      <c r="DG54" s="8"/>
      <c r="DH54" s="8"/>
      <c r="DI54" s="8"/>
      <c r="DJ54" s="8"/>
      <c r="DK54" s="8"/>
      <c r="DL54" s="8"/>
      <c r="DM54" s="8"/>
      <c r="DN54" s="8"/>
      <c r="DO54" s="8"/>
      <c r="DP54" s="8"/>
      <c r="DQ54" s="8"/>
      <c r="DS54" s="8"/>
      <c r="DT54" s="8"/>
      <c r="DU54" s="8"/>
      <c r="DV54" s="8"/>
      <c r="DW54" s="8"/>
      <c r="DX54" s="8"/>
      <c r="DY54" s="208"/>
      <c r="DZ54" s="8"/>
      <c r="EA54" s="8"/>
      <c r="EB54" s="65"/>
      <c r="EC54" s="8"/>
      <c r="ED54" s="8"/>
      <c r="EE54" s="8"/>
      <c r="EF54" s="8"/>
      <c r="EG54" s="8"/>
      <c r="EH54" s="8"/>
      <c r="EI54" s="8"/>
      <c r="EJ54" s="8"/>
      <c r="EK54" s="8"/>
      <c r="EL54" s="8"/>
      <c r="EM54" s="8"/>
      <c r="EN54" s="8"/>
      <c r="EO54" s="8"/>
      <c r="EP54" s="8"/>
      <c r="EQ54" s="8"/>
      <c r="ER54" s="8"/>
      <c r="ES54" s="24"/>
      <c r="ET54" s="24"/>
      <c r="EU54" s="24"/>
      <c r="EV54" s="8"/>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s="8"/>
      <c r="GJ54" s="8"/>
      <c r="GK54" s="8"/>
    </row>
    <row r="55" spans="1:193" s="45" customFormat="1" x14ac:dyDescent="0.55000000000000004">
      <c r="A55" s="224" t="s">
        <v>715</v>
      </c>
      <c r="B55" s="225"/>
      <c r="C55" s="234"/>
      <c r="D55" s="36">
        <f>SUMIF($B5:$B39, "&lt;=75",$GC5:$GC39)/D44</f>
        <v>0.17370595465803154</v>
      </c>
      <c r="E55" s="36">
        <f>SUMIF($B5:$B39, "&lt;=85",$GC5:$GC39)/E44</f>
        <v>0.14222291794218911</v>
      </c>
      <c r="F55" s="36">
        <f>SUMIF($B5:$B39, "&lt;=90",$GC5:$GC39)/F44</f>
        <v>0.1513465153319459</v>
      </c>
      <c r="G55" s="36">
        <f>SUMIF(B5:B39, "&lt;="&amp;G$151,GC5:GC39)/G44</f>
        <v>0.17186706230173787</v>
      </c>
      <c r="H55" s="8"/>
      <c r="I55" s="8"/>
      <c r="J55" s="8"/>
      <c r="K55" s="8"/>
      <c r="L55" s="8"/>
      <c r="M55" s="8"/>
      <c r="N55" s="8"/>
      <c r="O55" s="8"/>
      <c r="P55" s="8"/>
      <c r="Q55" s="135"/>
      <c r="R55" s="135"/>
      <c r="S55" s="13"/>
      <c r="T55" s="13"/>
      <c r="U55" s="8"/>
      <c r="V55" s="8"/>
      <c r="W55" s="8"/>
      <c r="X55" s="8"/>
      <c r="Y55" s="8"/>
      <c r="Z55" s="8"/>
      <c r="AA55" s="8"/>
      <c r="AB55" s="8"/>
      <c r="AC55" s="8"/>
      <c r="AD55" s="8"/>
      <c r="AE55" s="8"/>
      <c r="AF55" s="8"/>
      <c r="AG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65"/>
      <c r="BW55" s="65"/>
      <c r="BX55" s="65"/>
      <c r="BY55" s="65"/>
      <c r="BZ55" s="65"/>
      <c r="CA55" s="65"/>
      <c r="CB55" s="65"/>
      <c r="CC55" s="65"/>
      <c r="CD55" s="65"/>
      <c r="CE55" s="65"/>
      <c r="CF55" s="65"/>
      <c r="CG55" s="65"/>
      <c r="CH55" s="65"/>
      <c r="CI55" s="65"/>
      <c r="CJ55" s="65"/>
      <c r="CK55" s="65"/>
      <c r="CL55" s="65"/>
      <c r="CM55" s="65"/>
      <c r="CN55" s="65"/>
      <c r="CO55" s="65"/>
      <c r="CP55" s="65"/>
      <c r="CQ55" s="65"/>
      <c r="CR55" s="65"/>
      <c r="CS55" s="65"/>
      <c r="CT55" s="8"/>
      <c r="CU55" s="8"/>
      <c r="CV55" s="8"/>
      <c r="CW55" s="8"/>
      <c r="CX55" s="8"/>
      <c r="CY55" s="8"/>
      <c r="CZ55" s="8"/>
      <c r="DA55" s="8"/>
      <c r="DB55" s="8"/>
      <c r="DC55" s="8"/>
      <c r="DD55" s="8"/>
      <c r="DG55" s="8"/>
      <c r="DH55" s="8"/>
      <c r="DI55" s="8"/>
      <c r="DJ55" s="8"/>
      <c r="DK55" s="8"/>
      <c r="DL55" s="8"/>
      <c r="DM55" s="8"/>
      <c r="DN55" s="8"/>
      <c r="DO55" s="8"/>
      <c r="DP55" s="8"/>
      <c r="DQ55" s="8"/>
      <c r="DS55" s="8"/>
      <c r="DT55" s="8"/>
      <c r="DU55" s="8"/>
      <c r="DV55" s="8"/>
      <c r="DW55" s="8"/>
      <c r="DX55" s="8"/>
      <c r="DY55" s="208"/>
      <c r="DZ55" s="8"/>
      <c r="EA55" s="8"/>
      <c r="EB55" s="65"/>
      <c r="EC55" s="8"/>
      <c r="ED55" s="8"/>
      <c r="EE55" s="8"/>
      <c r="EF55" s="8"/>
      <c r="EG55" s="8"/>
      <c r="EH55" s="8"/>
      <c r="EI55" s="8"/>
      <c r="EJ55" s="8"/>
      <c r="EK55" s="8"/>
      <c r="EL55" s="8"/>
      <c r="EM55" s="8"/>
      <c r="EN55" s="8"/>
      <c r="EO55" s="8"/>
      <c r="EP55" s="8"/>
      <c r="EQ55" s="8"/>
      <c r="ER55" s="8"/>
      <c r="ES55" s="24"/>
      <c r="ET55" s="24"/>
      <c r="EU55" s="24"/>
      <c r="EV55" s="8"/>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s="8"/>
      <c r="GJ55" s="8"/>
      <c r="GK55" s="8"/>
    </row>
    <row r="56" spans="1:193" s="45" customFormat="1" x14ac:dyDescent="0.55000000000000004">
      <c r="A56" s="224" t="s">
        <v>159</v>
      </c>
      <c r="B56" s="225"/>
      <c r="C56" s="234"/>
      <c r="D56" s="7">
        <f>SUMIF($B5:$B39, "&lt;=75",$FF$5:$FF$39)</f>
        <v>310081.66643779835</v>
      </c>
      <c r="E56" s="7">
        <f>SUMIF($B5:$B39, "&lt;=85",$FF$5:$FF$39)</f>
        <v>685359.0735420601</v>
      </c>
      <c r="F56" s="7">
        <f>SUMIF($B5:$B39, "&lt;=90",$FF$5:$FF$39)</f>
        <v>819686.89510278008</v>
      </c>
      <c r="G56" s="7">
        <f>SUMIF(B5:B39, "&lt;="&amp;G$151,FF$5:FF$39)</f>
        <v>952702.93158829107</v>
      </c>
      <c r="H56" s="8"/>
      <c r="I56" s="8"/>
      <c r="J56" s="8"/>
      <c r="K56" s="8"/>
      <c r="L56" s="8"/>
      <c r="M56" s="8"/>
      <c r="N56" s="8"/>
      <c r="O56" s="8"/>
      <c r="P56" s="8"/>
      <c r="Q56" s="135"/>
      <c r="R56" s="135"/>
      <c r="S56" s="13"/>
      <c r="T56" s="13"/>
      <c r="U56" s="8"/>
      <c r="V56" s="8"/>
      <c r="W56" s="8"/>
      <c r="X56" s="8"/>
      <c r="Y56" s="8"/>
      <c r="Z56" s="8"/>
      <c r="AA56" s="8"/>
      <c r="AB56" s="8"/>
      <c r="AC56" s="8"/>
      <c r="AD56" s="8"/>
      <c r="AE56" s="8"/>
      <c r="AF56" s="8"/>
      <c r="AG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65"/>
      <c r="BW56" s="65"/>
      <c r="BX56" s="65"/>
      <c r="BY56" s="65"/>
      <c r="BZ56" s="65"/>
      <c r="CA56" s="65"/>
      <c r="CB56" s="65"/>
      <c r="CC56" s="65"/>
      <c r="CD56" s="65"/>
      <c r="CE56" s="65"/>
      <c r="CF56" s="65"/>
      <c r="CG56" s="65"/>
      <c r="CH56" s="65"/>
      <c r="CI56" s="65"/>
      <c r="CJ56" s="65"/>
      <c r="CK56" s="65"/>
      <c r="CL56" s="65"/>
      <c r="CM56" s="65"/>
      <c r="CN56" s="65"/>
      <c r="CO56" s="65"/>
      <c r="CP56" s="65"/>
      <c r="CQ56" s="65"/>
      <c r="CR56" s="65"/>
      <c r="CS56" s="65"/>
      <c r="CT56" s="8"/>
      <c r="CU56" s="8"/>
      <c r="CV56" s="8"/>
      <c r="CW56" s="8"/>
      <c r="CX56" s="8"/>
      <c r="CY56" s="8"/>
      <c r="CZ56" s="8"/>
      <c r="DA56" s="8"/>
      <c r="DB56" s="8"/>
      <c r="DC56" s="8"/>
      <c r="DD56" s="8"/>
      <c r="DG56" s="8"/>
      <c r="DH56" s="8"/>
      <c r="DI56" s="8"/>
      <c r="DJ56" s="8"/>
      <c r="DK56" s="8"/>
      <c r="DL56" s="8"/>
      <c r="DM56" s="8"/>
      <c r="DN56" s="8"/>
      <c r="DO56" s="8"/>
      <c r="DP56" s="8"/>
      <c r="DQ56" s="8"/>
      <c r="DS56" s="8"/>
      <c r="DT56" s="8"/>
      <c r="DU56" s="8"/>
      <c r="DV56" s="8"/>
      <c r="DW56" s="8"/>
      <c r="DX56" s="8"/>
      <c r="DY56" s="208"/>
      <c r="DZ56" s="8"/>
      <c r="EA56" s="8"/>
      <c r="EB56" s="65"/>
      <c r="EC56" s="8"/>
      <c r="ED56" s="8"/>
      <c r="EE56" s="8"/>
      <c r="EF56" s="8"/>
      <c r="EG56" s="8"/>
      <c r="EH56" s="8"/>
      <c r="EI56" s="8"/>
      <c r="EJ56" s="8"/>
      <c r="EK56" s="8"/>
      <c r="EL56" s="8"/>
      <c r="EM56" s="8"/>
      <c r="EN56" s="8"/>
      <c r="EO56" s="8"/>
      <c r="EP56" s="8"/>
      <c r="EQ56" s="8"/>
      <c r="ER56" s="8"/>
      <c r="ES56" s="24"/>
      <c r="ET56" s="24"/>
      <c r="EU56" s="24"/>
      <c r="EV56" s="8"/>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s="8"/>
      <c r="GJ56" s="8"/>
      <c r="GK56" s="8"/>
    </row>
    <row r="57" spans="1:193" s="45" customFormat="1" x14ac:dyDescent="0.55000000000000004">
      <c r="A57" s="224" t="s">
        <v>174</v>
      </c>
      <c r="B57" s="225"/>
      <c r="C57" s="234"/>
      <c r="D57" s="7">
        <f>SUMIF(B5:B39, "&lt;=75",J$5:J$39)</f>
        <v>368820.59087874007</v>
      </c>
      <c r="E57" s="7">
        <f>SUMIF($B5:$B39, "&lt;=85",$J$5:$J$39)</f>
        <v>910844.81880821986</v>
      </c>
      <c r="F57" s="7">
        <f>SUMIF($B5:$B39, "&lt;=90",$J$5:$J$39)</f>
        <v>1135702.1101073732</v>
      </c>
      <c r="G57" s="7">
        <f>SUMIF(B5:B39, "&lt;="&amp;G$151,J$5:J$39)</f>
        <v>1381538.3273724664</v>
      </c>
      <c r="H57" s="8"/>
      <c r="I57" s="8"/>
      <c r="J57" s="8"/>
      <c r="K57" s="8"/>
      <c r="L57" s="8"/>
      <c r="M57" s="8"/>
      <c r="N57" s="8"/>
      <c r="O57" s="8"/>
      <c r="P57" s="8"/>
      <c r="Q57" s="135"/>
      <c r="R57" s="135"/>
      <c r="S57" s="13"/>
      <c r="T57" s="13"/>
      <c r="U57" s="8"/>
      <c r="V57" s="8"/>
      <c r="W57" s="8"/>
      <c r="X57" s="8"/>
      <c r="Y57" s="8"/>
      <c r="Z57" s="8"/>
      <c r="AA57" s="8"/>
      <c r="AB57" s="8"/>
      <c r="AC57" s="8"/>
      <c r="AD57" s="8"/>
      <c r="AE57" s="8"/>
      <c r="AF57" s="8"/>
      <c r="AG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65"/>
      <c r="BW57" s="65"/>
      <c r="BX57" s="65"/>
      <c r="BY57" s="65"/>
      <c r="BZ57" s="65"/>
      <c r="CA57" s="65"/>
      <c r="CB57" s="65"/>
      <c r="CC57" s="65"/>
      <c r="CD57" s="65"/>
      <c r="CE57" s="65"/>
      <c r="CF57" s="65"/>
      <c r="CG57" s="65"/>
      <c r="CH57" s="65"/>
      <c r="CI57" s="65"/>
      <c r="CJ57" s="65"/>
      <c r="CK57" s="65"/>
      <c r="CL57" s="65"/>
      <c r="CM57" s="65"/>
      <c r="CN57" s="65"/>
      <c r="CO57" s="65"/>
      <c r="CP57" s="65"/>
      <c r="CQ57" s="65"/>
      <c r="CR57" s="65"/>
      <c r="CS57" s="65"/>
      <c r="CT57" s="8"/>
      <c r="CU57" s="8"/>
      <c r="CV57" s="8"/>
      <c r="CW57" s="8"/>
      <c r="CX57" s="8"/>
      <c r="CY57" s="8"/>
      <c r="CZ57" s="8"/>
      <c r="DA57" s="8"/>
      <c r="DB57" s="8"/>
      <c r="DC57" s="8"/>
      <c r="DD57" s="8"/>
      <c r="DG57" s="8"/>
      <c r="DH57" s="8"/>
      <c r="DI57" s="8"/>
      <c r="DJ57" s="8"/>
      <c r="DK57" s="8"/>
      <c r="DL57" s="8"/>
      <c r="DM57" s="8"/>
      <c r="DN57" s="8"/>
      <c r="DO57" s="8"/>
      <c r="DP57" s="8"/>
      <c r="DQ57" s="8"/>
      <c r="DS57" s="8"/>
      <c r="DT57" s="8"/>
      <c r="DU57" s="8"/>
      <c r="DV57" s="8"/>
      <c r="DW57" s="8"/>
      <c r="DX57" s="8"/>
      <c r="DY57" s="208"/>
      <c r="DZ57" s="8"/>
      <c r="EA57" s="8"/>
      <c r="EB57" s="65"/>
      <c r="EC57" s="8"/>
      <c r="ED57" s="8"/>
      <c r="EE57" s="8"/>
      <c r="EF57" s="8"/>
      <c r="EG57" s="8"/>
      <c r="EH57" s="8"/>
      <c r="EI57" s="8"/>
      <c r="EJ57" s="8"/>
      <c r="EK57" s="8"/>
      <c r="EL57" s="8"/>
      <c r="EM57" s="8"/>
      <c r="EN57" s="8"/>
      <c r="EO57" s="8"/>
      <c r="EP57" s="8"/>
      <c r="EQ57" s="8"/>
      <c r="ER57" s="8"/>
      <c r="ES57" s="24"/>
      <c r="ET57" s="24"/>
      <c r="EU57" s="24"/>
      <c r="EV57" s="8"/>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s="8"/>
      <c r="GJ57" s="8"/>
      <c r="GK57" s="8"/>
    </row>
    <row r="58" spans="1:193" s="45" customFormat="1" x14ac:dyDescent="0.55000000000000004">
      <c r="A58" s="223" t="s">
        <v>583</v>
      </c>
      <c r="B58" s="223"/>
      <c r="C58" s="223"/>
      <c r="D58" s="223"/>
      <c r="E58"/>
      <c r="F58"/>
      <c r="G58"/>
      <c r="H58" s="8"/>
      <c r="I58" s="8"/>
      <c r="J58" s="8"/>
      <c r="K58" s="8"/>
      <c r="L58" s="8"/>
      <c r="M58" s="8"/>
      <c r="N58" s="8"/>
      <c r="O58" s="8"/>
      <c r="P58" s="8"/>
      <c r="Q58" s="135"/>
      <c r="R58" s="135"/>
      <c r="S58" s="13"/>
      <c r="T58" s="13"/>
      <c r="U58" s="8"/>
      <c r="V58" s="8"/>
      <c r="W58" s="8"/>
      <c r="X58" s="8"/>
      <c r="Y58" s="8"/>
      <c r="Z58" s="8"/>
      <c r="AA58" s="8"/>
      <c r="AB58" s="8"/>
      <c r="AC58" s="8"/>
      <c r="AD58" s="8"/>
      <c r="AE58" s="8"/>
      <c r="AF58" s="8"/>
      <c r="AG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65"/>
      <c r="BW58" s="65"/>
      <c r="BX58" s="65"/>
      <c r="BY58" s="65"/>
      <c r="BZ58" s="65"/>
      <c r="CA58" s="65"/>
      <c r="CB58" s="65"/>
      <c r="CC58" s="65"/>
      <c r="CD58" s="65"/>
      <c r="CE58" s="65"/>
      <c r="CF58" s="65"/>
      <c r="CG58" s="65"/>
      <c r="CH58" s="65"/>
      <c r="CI58" s="65"/>
      <c r="CJ58" s="65"/>
      <c r="CK58" s="65"/>
      <c r="CL58" s="65"/>
      <c r="CM58" s="65"/>
      <c r="CN58" s="65"/>
      <c r="CO58" s="65"/>
      <c r="CP58" s="65"/>
      <c r="CQ58" s="65"/>
      <c r="CR58" s="65"/>
      <c r="CS58" s="65"/>
      <c r="CT58" s="8"/>
      <c r="CU58" s="8"/>
      <c r="CV58" s="8"/>
      <c r="CW58" s="8"/>
      <c r="CX58" s="8"/>
      <c r="CY58" s="8"/>
      <c r="CZ58" s="8"/>
      <c r="DA58" s="8"/>
      <c r="DB58" s="8"/>
      <c r="DC58" s="8"/>
      <c r="DD58" s="8"/>
      <c r="DG58" s="8"/>
      <c r="DH58" s="8"/>
      <c r="DI58" s="8"/>
      <c r="DJ58" s="8"/>
      <c r="DK58" s="8"/>
      <c r="DL58" s="8"/>
      <c r="DM58" s="8"/>
      <c r="DN58" s="8"/>
      <c r="DO58" s="8"/>
      <c r="DP58" s="8"/>
      <c r="DQ58" s="8"/>
      <c r="DS58" s="8"/>
      <c r="DT58" s="8"/>
      <c r="DU58" s="8"/>
      <c r="DV58" s="8"/>
      <c r="DW58" s="8"/>
      <c r="DX58" s="8"/>
      <c r="DY58" s="208"/>
      <c r="DZ58" s="8"/>
      <c r="EA58" s="8"/>
      <c r="EB58" s="65"/>
      <c r="EC58" s="8"/>
      <c r="ED58" s="8"/>
      <c r="EE58" s="8"/>
      <c r="EF58" s="8"/>
      <c r="EG58" s="8"/>
      <c r="EH58" s="8"/>
      <c r="EI58" s="8"/>
      <c r="EJ58" s="8"/>
      <c r="EK58" s="8"/>
      <c r="EL58" s="8"/>
      <c r="EM58" s="8"/>
      <c r="EN58" s="8"/>
      <c r="EO58" s="8"/>
      <c r="EP58" s="8"/>
      <c r="EQ58" s="8"/>
      <c r="ER58" s="8"/>
      <c r="ES58" s="24"/>
      <c r="ET58" s="24"/>
      <c r="EU58" s="24"/>
      <c r="EV58" s="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s="8"/>
      <c r="GJ58" s="8"/>
      <c r="GK58" s="8"/>
    </row>
    <row r="59" spans="1:193" s="45" customFormat="1" x14ac:dyDescent="0.55000000000000004">
      <c r="A59" s="247" t="s">
        <v>717</v>
      </c>
      <c r="B59" s="247"/>
      <c r="C59" s="247"/>
      <c r="D59" s="41">
        <f>COUNTIF(GH5:GH39,"&lt;0")</f>
        <v>0</v>
      </c>
      <c r="E59" s="8"/>
      <c r="F59" s="8"/>
      <c r="G59" s="8"/>
      <c r="H59" s="8"/>
      <c r="I59" s="8"/>
      <c r="J59" s="8"/>
      <c r="K59" s="8"/>
      <c r="L59" s="8"/>
      <c r="M59" s="8"/>
      <c r="N59" s="8"/>
      <c r="O59" s="8"/>
      <c r="P59" s="8"/>
      <c r="Q59" s="135"/>
      <c r="R59" s="135"/>
      <c r="S59" s="13"/>
      <c r="T59" s="13"/>
      <c r="U59" s="8"/>
      <c r="V59" s="8"/>
      <c r="W59" s="8"/>
      <c r="X59" s="8"/>
      <c r="Y59" s="8"/>
      <c r="Z59" s="8"/>
      <c r="AA59" s="8"/>
      <c r="AB59" s="8"/>
      <c r="AC59" s="8"/>
      <c r="AD59" s="8"/>
      <c r="AE59" s="8"/>
      <c r="AF59" s="8"/>
      <c r="AG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65"/>
      <c r="BW59" s="65"/>
      <c r="BX59" s="65"/>
      <c r="BY59" s="65"/>
      <c r="BZ59" s="65"/>
      <c r="CA59" s="65"/>
      <c r="CB59" s="65"/>
      <c r="CC59" s="65"/>
      <c r="CD59" s="65"/>
      <c r="CE59" s="65"/>
      <c r="CF59" s="65"/>
      <c r="CG59" s="65"/>
      <c r="CH59" s="65"/>
      <c r="CI59" s="65"/>
      <c r="CJ59" s="65"/>
      <c r="CK59" s="65"/>
      <c r="CL59" s="65"/>
      <c r="CM59" s="65"/>
      <c r="CN59" s="65"/>
      <c r="CO59" s="65"/>
      <c r="CP59" s="65"/>
      <c r="CQ59" s="65"/>
      <c r="CR59" s="65"/>
      <c r="CS59" s="65"/>
      <c r="CT59" s="8"/>
      <c r="CU59" s="8"/>
      <c r="CV59" s="8"/>
      <c r="CW59" s="8"/>
      <c r="CX59" s="8"/>
      <c r="CY59" s="8"/>
      <c r="CZ59" s="8"/>
      <c r="DA59" s="8"/>
      <c r="DB59" s="8"/>
      <c r="DC59" s="8"/>
      <c r="DD59" s="8"/>
      <c r="DG59" s="8"/>
      <c r="DH59" s="8"/>
      <c r="DI59" s="8"/>
      <c r="DJ59" s="8"/>
      <c r="DK59" s="8"/>
      <c r="DL59" s="8"/>
      <c r="DM59" s="8"/>
      <c r="DN59" s="8"/>
      <c r="DO59" s="8"/>
      <c r="DP59" s="8"/>
      <c r="DQ59" s="8"/>
      <c r="DS59" s="8"/>
      <c r="DT59" s="8"/>
      <c r="DU59" s="8"/>
      <c r="DV59" s="8"/>
      <c r="DW59" s="8"/>
      <c r="DX59" s="8"/>
      <c r="DY59" s="208"/>
      <c r="DZ59" s="8"/>
      <c r="EA59" s="8"/>
      <c r="EB59" s="65"/>
      <c r="EC59" s="8"/>
      <c r="ED59" s="8"/>
      <c r="EE59" s="8"/>
      <c r="EF59" s="8"/>
      <c r="EG59" s="8"/>
      <c r="EH59" s="8"/>
      <c r="EI59" s="8"/>
      <c r="EJ59" s="8"/>
      <c r="EK59" s="8"/>
      <c r="EL59" s="8"/>
      <c r="EM59" s="8"/>
      <c r="EN59" s="8"/>
      <c r="EO59" s="8"/>
      <c r="EP59" s="8"/>
      <c r="EQ59" s="8"/>
      <c r="ER59" s="8"/>
      <c r="ES59" s="24"/>
      <c r="ET59" s="24"/>
      <c r="EU59" s="24"/>
      <c r="EV59" s="8"/>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s="8"/>
      <c r="GJ59" s="8"/>
      <c r="GK59" s="8"/>
    </row>
    <row r="60" spans="1:193" s="45" customFormat="1" x14ac:dyDescent="0.55000000000000004">
      <c r="A60" s="247" t="s">
        <v>718</v>
      </c>
      <c r="B60" s="247"/>
      <c r="C60" s="247"/>
      <c r="D60" s="60">
        <f>COUNTIF(GI5:GI39,"&lt;0")</f>
        <v>0</v>
      </c>
      <c r="E60" s="8"/>
      <c r="F60" s="8"/>
      <c r="G60" s="8"/>
      <c r="H60" s="8"/>
      <c r="I60" s="8"/>
      <c r="J60" s="8"/>
      <c r="K60" s="8"/>
      <c r="L60" s="8"/>
      <c r="M60" s="8"/>
      <c r="N60" s="8"/>
      <c r="O60" s="8"/>
      <c r="P60" s="8"/>
      <c r="Q60" s="135"/>
      <c r="R60" s="135"/>
      <c r="S60" s="13"/>
      <c r="T60" s="13"/>
      <c r="U60" s="8"/>
      <c r="V60" s="8"/>
      <c r="W60" s="8"/>
      <c r="X60" s="8"/>
      <c r="Y60" s="8"/>
      <c r="Z60" s="8"/>
      <c r="AA60" s="8"/>
      <c r="AB60" s="8"/>
      <c r="AC60" s="8"/>
      <c r="AD60" s="8"/>
      <c r="AE60" s="8"/>
      <c r="AF60" s="8"/>
      <c r="AG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65"/>
      <c r="BW60" s="65"/>
      <c r="BX60" s="65"/>
      <c r="BY60" s="65"/>
      <c r="BZ60" s="65"/>
      <c r="CA60" s="65"/>
      <c r="CB60" s="65"/>
      <c r="CC60" s="65"/>
      <c r="CD60" s="65"/>
      <c r="CE60" s="65"/>
      <c r="CF60" s="65"/>
      <c r="CG60" s="65"/>
      <c r="CH60" s="65"/>
      <c r="CI60" s="65"/>
      <c r="CJ60" s="65"/>
      <c r="CK60" s="65"/>
      <c r="CL60" s="65"/>
      <c r="CM60" s="65"/>
      <c r="CN60" s="65"/>
      <c r="CO60" s="65"/>
      <c r="CP60" s="65"/>
      <c r="CQ60" s="65"/>
      <c r="CR60" s="65"/>
      <c r="CS60" s="65"/>
      <c r="CT60" s="8"/>
      <c r="CU60" s="8"/>
      <c r="CV60" s="8"/>
      <c r="CW60" s="8"/>
      <c r="CX60" s="8"/>
      <c r="CY60" s="8"/>
      <c r="CZ60" s="8"/>
      <c r="DA60" s="8"/>
      <c r="DB60" s="8"/>
      <c r="DC60" s="8"/>
      <c r="DD60" s="8"/>
      <c r="DG60" s="8"/>
      <c r="DH60" s="8"/>
      <c r="DI60" s="8"/>
      <c r="DJ60" s="8"/>
      <c r="DK60" s="8"/>
      <c r="DL60" s="8"/>
      <c r="DM60" s="8"/>
      <c r="DN60" s="8"/>
      <c r="DO60" s="8"/>
      <c r="DP60" s="8"/>
      <c r="DQ60" s="8"/>
      <c r="DS60" s="8"/>
      <c r="DT60" s="8"/>
      <c r="DU60" s="8"/>
      <c r="DV60" s="8"/>
      <c r="DW60" s="8"/>
      <c r="DX60" s="8"/>
      <c r="DY60" s="208"/>
      <c r="DZ60" s="8"/>
      <c r="EA60" s="8"/>
      <c r="EB60" s="65"/>
      <c r="EC60" s="8"/>
      <c r="ED60" s="8"/>
      <c r="EE60" s="8"/>
      <c r="EF60" s="8"/>
      <c r="EG60" s="8"/>
      <c r="EH60" s="8"/>
      <c r="EI60" s="8"/>
      <c r="EJ60" s="8"/>
      <c r="EK60" s="8"/>
      <c r="EL60" s="8"/>
      <c r="EM60" s="8"/>
      <c r="EN60" s="8"/>
      <c r="EO60" s="8"/>
      <c r="EP60" s="8"/>
      <c r="EQ60" s="8"/>
      <c r="ER60" s="8"/>
      <c r="ES60" s="24"/>
      <c r="ET60" s="24"/>
      <c r="EU60" s="24"/>
      <c r="EV60" s="8"/>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s="8"/>
      <c r="GJ60" s="8"/>
      <c r="GK60" s="8"/>
    </row>
    <row r="61" spans="1:193" s="45" customFormat="1" x14ac:dyDescent="0.55000000000000004">
      <c r="A61" s="247" t="s">
        <v>719</v>
      </c>
      <c r="B61" s="247"/>
      <c r="C61" s="247"/>
      <c r="D61" s="134" t="str">
        <f>IF(G$103=0,"N/A",IF(D59=0,"IMMEDIATE",IF(0=_xlfn.XLOOKUP(100, GH5:GH34,A5:A39,  0, 1,1),"NEVER",_xlfn.XLOOKUP(100, GH4:GH34,A4:A39,  0, 1,1))))</f>
        <v>N/A</v>
      </c>
      <c r="E61" s="8"/>
      <c r="F61" s="8"/>
      <c r="G61" s="8"/>
      <c r="H61" s="8"/>
      <c r="I61" s="8"/>
      <c r="J61" s="8"/>
      <c r="K61" s="8"/>
      <c r="L61" s="8"/>
      <c r="M61" s="8"/>
      <c r="N61" s="8"/>
      <c r="O61" s="8"/>
      <c r="P61" s="8"/>
      <c r="Q61" s="135"/>
      <c r="R61" s="135"/>
      <c r="S61" s="13"/>
      <c r="T61" s="13"/>
      <c r="U61" s="8"/>
      <c r="V61" s="8"/>
      <c r="W61" s="8"/>
      <c r="X61" s="8"/>
      <c r="Y61" s="8"/>
      <c r="Z61" s="8"/>
      <c r="AA61" s="8"/>
      <c r="AB61" s="8"/>
      <c r="AC61" s="8"/>
      <c r="AD61" s="8"/>
      <c r="AE61" s="8"/>
      <c r="AF61" s="8"/>
      <c r="AG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65"/>
      <c r="BW61" s="65"/>
      <c r="BX61" s="65"/>
      <c r="BY61" s="65"/>
      <c r="BZ61" s="65"/>
      <c r="CA61" s="65"/>
      <c r="CB61" s="65"/>
      <c r="CC61" s="65"/>
      <c r="CD61" s="65"/>
      <c r="CE61" s="65"/>
      <c r="CF61" s="65"/>
      <c r="CG61" s="65"/>
      <c r="CH61" s="65"/>
      <c r="CI61" s="65"/>
      <c r="CJ61" s="65"/>
      <c r="CK61" s="65"/>
      <c r="CL61" s="65"/>
      <c r="CM61" s="65"/>
      <c r="CN61" s="65"/>
      <c r="CO61" s="65"/>
      <c r="CP61" s="65"/>
      <c r="CQ61" s="65"/>
      <c r="CR61" s="65"/>
      <c r="CS61" s="65"/>
      <c r="CT61" s="8"/>
      <c r="CU61" s="8"/>
      <c r="CV61" s="8"/>
      <c r="CW61" s="8"/>
      <c r="CX61" s="8"/>
      <c r="CY61" s="8"/>
      <c r="CZ61" s="8"/>
      <c r="DA61" s="8"/>
      <c r="DB61" s="8"/>
      <c r="DC61" s="8"/>
      <c r="DD61" s="8"/>
      <c r="DG61" s="8"/>
      <c r="DH61" s="8"/>
      <c r="DI61" s="8"/>
      <c r="DJ61" s="8"/>
      <c r="DK61" s="8"/>
      <c r="DL61" s="8"/>
      <c r="DM61" s="8"/>
      <c r="DN61" s="8"/>
      <c r="DO61" s="8"/>
      <c r="DP61" s="8"/>
      <c r="DQ61" s="8"/>
      <c r="DS61" s="8"/>
      <c r="DT61" s="8"/>
      <c r="DU61" s="8"/>
      <c r="DV61" s="8"/>
      <c r="DW61" s="8"/>
      <c r="DX61" s="8"/>
      <c r="DY61" s="208"/>
      <c r="DZ61" s="8"/>
      <c r="EA61" s="8"/>
      <c r="EB61" s="65"/>
      <c r="EC61" s="8"/>
      <c r="ED61" s="8"/>
      <c r="EE61" s="8"/>
      <c r="EF61" s="8"/>
      <c r="EG61" s="8"/>
      <c r="EH61" s="8"/>
      <c r="EI61" s="8"/>
      <c r="EJ61" s="8"/>
      <c r="EK61" s="8"/>
      <c r="EL61" s="8"/>
      <c r="EM61" s="8"/>
      <c r="EN61" s="8"/>
      <c r="EO61" s="8"/>
      <c r="EP61" s="8"/>
      <c r="EQ61" s="8"/>
      <c r="ER61" s="8"/>
      <c r="ES61" s="24"/>
      <c r="ET61" s="24"/>
      <c r="EU61" s="24"/>
      <c r="EV61" s="8"/>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s="8"/>
      <c r="GJ61" s="8"/>
      <c r="GK61" s="8"/>
    </row>
    <row r="62" spans="1:193" s="45" customFormat="1" x14ac:dyDescent="0.55000000000000004">
      <c r="A62" s="247" t="s">
        <v>720</v>
      </c>
      <c r="B62" s="247"/>
      <c r="C62" s="247"/>
      <c r="D62" s="41" t="str">
        <f>IF(G$104=0,"N/A",IF(D60=0,"IMMEDIATE",IF(0=_xlfn.XLOOKUP(100,GI5:GI39,A5:A39,0,1,1),"NEVER",_xlfn.XLOOKUP(100,GI5:GI34,A5:A39,0,1,1))))</f>
        <v>N/A</v>
      </c>
      <c r="E62" s="8"/>
      <c r="F62" s="8"/>
      <c r="G62" s="8"/>
      <c r="H62" s="8"/>
      <c r="I62" s="8"/>
      <c r="J62" s="8"/>
      <c r="K62" s="8"/>
      <c r="L62" s="8"/>
      <c r="M62" s="8"/>
      <c r="N62" s="8"/>
      <c r="O62" s="8"/>
      <c r="P62" s="8"/>
      <c r="Q62" s="135"/>
      <c r="R62" s="135"/>
      <c r="S62" s="13"/>
      <c r="T62" s="13"/>
      <c r="U62" s="8"/>
      <c r="V62" s="8"/>
      <c r="W62" s="8"/>
      <c r="X62" s="8"/>
      <c r="Y62" s="8"/>
      <c r="Z62" s="8"/>
      <c r="AA62" s="8"/>
      <c r="AB62" s="8"/>
      <c r="AC62" s="8"/>
      <c r="AD62" s="8"/>
      <c r="AE62" s="8"/>
      <c r="AF62" s="8"/>
      <c r="AG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65"/>
      <c r="BW62" s="65"/>
      <c r="BX62" s="65"/>
      <c r="BY62" s="65"/>
      <c r="BZ62" s="65"/>
      <c r="CA62" s="65"/>
      <c r="CB62" s="65"/>
      <c r="CC62" s="65"/>
      <c r="CD62" s="65"/>
      <c r="CE62" s="65"/>
      <c r="CF62" s="65"/>
      <c r="CG62" s="65"/>
      <c r="CH62" s="65"/>
      <c r="CI62" s="65"/>
      <c r="CJ62" s="65"/>
      <c r="CK62" s="65"/>
      <c r="CL62" s="65"/>
      <c r="CM62" s="65"/>
      <c r="CN62" s="65"/>
      <c r="CO62" s="65"/>
      <c r="CP62" s="65"/>
      <c r="CQ62" s="65"/>
      <c r="CR62" s="65"/>
      <c r="CS62" s="65"/>
      <c r="CT62" s="8"/>
      <c r="CU62" s="8"/>
      <c r="CV62" s="8"/>
      <c r="CW62" s="8"/>
      <c r="CX62" s="8"/>
      <c r="CY62" s="8"/>
      <c r="CZ62" s="8"/>
      <c r="DA62" s="8"/>
      <c r="DB62" s="8"/>
      <c r="DC62" s="8"/>
      <c r="DD62" s="8"/>
      <c r="DG62" s="8"/>
      <c r="DH62" s="8"/>
      <c r="DI62" s="8"/>
      <c r="DJ62" s="8"/>
      <c r="DK62" s="8"/>
      <c r="DL62" s="8"/>
      <c r="DM62" s="8"/>
      <c r="DN62" s="8"/>
      <c r="DO62" s="8"/>
      <c r="DP62" s="8"/>
      <c r="DQ62" s="8"/>
      <c r="DS62" s="8"/>
      <c r="DT62" s="8"/>
      <c r="DU62" s="8"/>
      <c r="DV62" s="8"/>
      <c r="DW62" s="8"/>
      <c r="DX62" s="8"/>
      <c r="DY62" s="208"/>
      <c r="DZ62" s="8"/>
      <c r="EA62" s="8"/>
      <c r="EB62" s="65"/>
      <c r="EC62" s="8"/>
      <c r="ED62" s="8"/>
      <c r="EE62" s="8"/>
      <c r="EF62" s="8"/>
      <c r="EG62" s="8"/>
      <c r="EH62" s="8"/>
      <c r="EI62" s="8"/>
      <c r="EJ62" s="8"/>
      <c r="EK62" s="8"/>
      <c r="EL62" s="8"/>
      <c r="EM62" s="8"/>
      <c r="EN62" s="8"/>
      <c r="EO62" s="8"/>
      <c r="EP62" s="8"/>
      <c r="EQ62" s="8"/>
      <c r="ER62" s="8"/>
      <c r="ES62" s="24"/>
      <c r="ET62" s="24"/>
      <c r="EU62" s="24"/>
      <c r="EV62" s="8"/>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s="8"/>
      <c r="GJ62" s="8"/>
      <c r="GK62" s="8"/>
    </row>
    <row r="63" spans="1:193" s="45" customFormat="1" x14ac:dyDescent="0.55000000000000004">
      <c r="A63" s="223" t="s">
        <v>713</v>
      </c>
      <c r="B63" s="223"/>
      <c r="C63" s="223"/>
      <c r="D63" s="223"/>
      <c r="E63" s="8"/>
      <c r="F63" s="8"/>
      <c r="G63" s="8"/>
      <c r="H63" s="8"/>
      <c r="I63" s="8"/>
      <c r="J63" s="8"/>
      <c r="K63" s="8"/>
      <c r="L63" s="8"/>
      <c r="M63" s="8"/>
      <c r="N63" s="8"/>
      <c r="O63" s="8"/>
      <c r="P63" s="8"/>
      <c r="Q63" s="135"/>
      <c r="R63" s="135"/>
      <c r="S63" s="13"/>
      <c r="T63" s="13"/>
      <c r="U63" s="8"/>
      <c r="V63" s="8"/>
      <c r="W63" s="8"/>
      <c r="X63" s="8"/>
      <c r="Y63" s="8"/>
      <c r="Z63" s="8"/>
      <c r="AA63" s="8"/>
      <c r="AB63" s="8"/>
      <c r="AC63" s="8"/>
      <c r="AD63" s="8"/>
      <c r="AE63" s="8"/>
      <c r="AF63" s="8"/>
      <c r="AG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65"/>
      <c r="BW63" s="65"/>
      <c r="BX63" s="65"/>
      <c r="BY63" s="65"/>
      <c r="BZ63" s="65"/>
      <c r="CA63" s="65"/>
      <c r="CB63" s="65"/>
      <c r="CC63" s="65"/>
      <c r="CD63" s="65"/>
      <c r="CE63" s="65"/>
      <c r="CF63" s="65"/>
      <c r="CG63" s="65"/>
      <c r="CH63" s="65"/>
      <c r="CI63" s="65"/>
      <c r="CJ63" s="65"/>
      <c r="CK63" s="65"/>
      <c r="CL63" s="65"/>
      <c r="CM63" s="65"/>
      <c r="CN63" s="65"/>
      <c r="CO63" s="65"/>
      <c r="CP63" s="65"/>
      <c r="CQ63" s="65"/>
      <c r="CR63" s="65"/>
      <c r="CS63" s="65"/>
      <c r="CT63" s="8"/>
      <c r="CU63" s="8"/>
      <c r="CV63" s="8"/>
      <c r="CW63" s="8"/>
      <c r="CX63" s="8"/>
      <c r="CY63" s="8"/>
      <c r="CZ63" s="8"/>
      <c r="DA63" s="8"/>
      <c r="DB63" s="8"/>
      <c r="DC63" s="8"/>
      <c r="DD63" s="8"/>
      <c r="DG63" s="8"/>
      <c r="DH63" s="8"/>
      <c r="DI63" s="8"/>
      <c r="DJ63" s="8"/>
      <c r="DK63" s="8"/>
      <c r="DL63" s="8"/>
      <c r="DM63" s="8"/>
      <c r="DN63" s="8"/>
      <c r="DO63" s="8"/>
      <c r="DP63" s="8"/>
      <c r="DQ63" s="8"/>
      <c r="DS63" s="8"/>
      <c r="DT63" s="8"/>
      <c r="DU63" s="8"/>
      <c r="DV63" s="8"/>
      <c r="DW63" s="8"/>
      <c r="DX63" s="8"/>
      <c r="DY63" s="208"/>
      <c r="DZ63" s="8"/>
      <c r="EA63" s="8"/>
      <c r="EB63" s="65"/>
      <c r="EC63" s="8"/>
      <c r="ED63" s="8"/>
      <c r="EE63" s="8"/>
      <c r="EF63" s="8"/>
      <c r="EG63" s="8"/>
      <c r="EH63" s="8"/>
      <c r="EI63" s="8"/>
      <c r="EJ63" s="8"/>
      <c r="EK63" s="8"/>
      <c r="EL63" s="8"/>
      <c r="EM63" s="8"/>
      <c r="EN63" s="8"/>
      <c r="EO63" s="8"/>
      <c r="EP63" s="8"/>
      <c r="EQ63" s="8"/>
      <c r="ER63" s="8"/>
      <c r="ES63" s="24"/>
      <c r="ET63" s="24"/>
      <c r="EU63" s="24"/>
      <c r="EV63" s="8"/>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s="8"/>
      <c r="GJ63" s="8"/>
      <c r="GK63" s="8"/>
    </row>
    <row r="64" spans="1:193" s="45" customFormat="1" x14ac:dyDescent="0.55000000000000004">
      <c r="A64" s="247" t="s">
        <v>721</v>
      </c>
      <c r="B64" s="247"/>
      <c r="C64" s="247"/>
      <c r="D64" s="7">
        <v>0</v>
      </c>
      <c r="E64" s="8"/>
      <c r="F64" s="8"/>
      <c r="G64" s="8"/>
      <c r="H64" s="8"/>
      <c r="I64" s="8"/>
      <c r="J64" s="8"/>
      <c r="K64" s="8"/>
      <c r="L64" s="8"/>
      <c r="M64" s="8"/>
      <c r="N64" s="8"/>
      <c r="O64" s="8"/>
      <c r="P64" s="8"/>
      <c r="Q64" s="135"/>
      <c r="R64" s="135"/>
      <c r="S64" s="13"/>
      <c r="T64" s="13"/>
      <c r="U64" s="8"/>
      <c r="V64" s="8"/>
      <c r="W64" s="8"/>
      <c r="X64" s="8"/>
      <c r="Y64" s="8"/>
      <c r="Z64" s="8"/>
      <c r="AA64" s="8"/>
      <c r="AB64" s="8"/>
      <c r="AC64" s="8"/>
      <c r="AD64" s="8"/>
      <c r="AE64" s="8"/>
      <c r="AF64" s="8"/>
      <c r="AG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65"/>
      <c r="BW64" s="65"/>
      <c r="BX64" s="65"/>
      <c r="BY64" s="65"/>
      <c r="BZ64" s="65"/>
      <c r="CA64" s="65"/>
      <c r="CB64" s="65"/>
      <c r="CC64" s="65"/>
      <c r="CD64" s="65"/>
      <c r="CE64" s="65"/>
      <c r="CF64" s="65"/>
      <c r="CG64" s="65"/>
      <c r="CH64" s="65"/>
      <c r="CI64" s="65"/>
      <c r="CJ64" s="65"/>
      <c r="CK64" s="65"/>
      <c r="CL64" s="65"/>
      <c r="CM64" s="65"/>
      <c r="CN64" s="65"/>
      <c r="CO64" s="65"/>
      <c r="CP64" s="65"/>
      <c r="CQ64" s="65"/>
      <c r="CR64" s="65"/>
      <c r="CS64" s="65"/>
      <c r="CT64" s="8"/>
      <c r="CU64" s="8"/>
      <c r="CV64" s="8"/>
      <c r="CW64" s="8"/>
      <c r="CX64" s="8"/>
      <c r="CY64" s="8"/>
      <c r="CZ64" s="8"/>
      <c r="DA64" s="8"/>
      <c r="DB64" s="8"/>
      <c r="DC64" s="8"/>
      <c r="DD64" s="8"/>
      <c r="DG64" s="8"/>
      <c r="DH64" s="8"/>
      <c r="DI64" s="8"/>
      <c r="DJ64" s="8"/>
      <c r="DK64" s="8"/>
      <c r="DL64" s="8"/>
      <c r="DM64" s="8"/>
      <c r="DN64" s="8"/>
      <c r="DO64" s="8"/>
      <c r="DP64" s="8"/>
      <c r="DQ64" s="8"/>
      <c r="DS64" s="8"/>
      <c r="DT64" s="8"/>
      <c r="DU64" s="8"/>
      <c r="DV64" s="8"/>
      <c r="DW64" s="8"/>
      <c r="DX64" s="8"/>
      <c r="DY64" s="208"/>
      <c r="DZ64" s="8"/>
      <c r="EA64" s="8"/>
      <c r="EB64" s="65"/>
      <c r="EC64" s="8"/>
      <c r="ED64" s="8"/>
      <c r="EE64" s="8"/>
      <c r="EF64" s="8"/>
      <c r="EG64" s="8"/>
      <c r="EH64" s="8"/>
      <c r="EI64" s="8"/>
      <c r="EJ64" s="8"/>
      <c r="EK64" s="8"/>
      <c r="EL64" s="8"/>
      <c r="EM64" s="8"/>
      <c r="EN64" s="8"/>
      <c r="EO64" s="8"/>
      <c r="EP64" s="8"/>
      <c r="EQ64" s="8"/>
      <c r="ER64" s="8"/>
      <c r="ES64" s="24"/>
      <c r="ET64" s="24"/>
      <c r="EU64" s="24"/>
      <c r="EV64" s="8"/>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s="8"/>
      <c r="GJ64" s="8"/>
      <c r="GK64" s="8"/>
    </row>
    <row r="65" spans="1:193" s="45" customFormat="1" x14ac:dyDescent="0.55000000000000004">
      <c r="A65" s="247" t="s">
        <v>722</v>
      </c>
      <c r="B65" s="247"/>
      <c r="C65" s="247"/>
      <c r="D65" s="7">
        <v>0</v>
      </c>
      <c r="E65" s="8"/>
      <c r="F65" s="8"/>
      <c r="G65" s="8"/>
      <c r="H65" s="8"/>
      <c r="I65" s="8"/>
      <c r="J65" s="8"/>
      <c r="K65" s="8"/>
      <c r="L65" s="8"/>
      <c r="M65" s="8"/>
      <c r="N65" s="8"/>
      <c r="O65" s="8"/>
      <c r="P65" s="8"/>
      <c r="Q65" s="135"/>
      <c r="R65" s="135"/>
      <c r="S65" s="13"/>
      <c r="T65" s="13"/>
      <c r="U65" s="8"/>
      <c r="V65" s="8"/>
      <c r="W65" s="8"/>
      <c r="X65" s="8"/>
      <c r="Y65" s="8"/>
      <c r="Z65" s="8"/>
      <c r="AA65" s="8"/>
      <c r="AB65" s="8"/>
      <c r="AC65" s="8"/>
      <c r="AD65" s="8"/>
      <c r="AE65" s="8"/>
      <c r="AF65" s="8"/>
      <c r="AG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65"/>
      <c r="BW65" s="65"/>
      <c r="BX65" s="65"/>
      <c r="BY65" s="65"/>
      <c r="BZ65" s="65"/>
      <c r="CA65" s="65"/>
      <c r="CB65" s="65"/>
      <c r="CC65" s="65"/>
      <c r="CD65" s="65"/>
      <c r="CE65" s="65"/>
      <c r="CF65" s="65"/>
      <c r="CG65" s="65"/>
      <c r="CH65" s="65"/>
      <c r="CI65" s="65"/>
      <c r="CJ65" s="65"/>
      <c r="CK65" s="65"/>
      <c r="CL65" s="65"/>
      <c r="CM65" s="65"/>
      <c r="CN65" s="65"/>
      <c r="CO65" s="65"/>
      <c r="CP65" s="65"/>
      <c r="CQ65" s="65"/>
      <c r="CR65" s="65"/>
      <c r="CS65" s="65"/>
      <c r="CT65" s="8"/>
      <c r="CU65" s="8"/>
      <c r="CV65" s="8"/>
      <c r="CW65" s="8"/>
      <c r="CX65" s="8"/>
      <c r="CY65" s="8"/>
      <c r="CZ65" s="8"/>
      <c r="DA65" s="8"/>
      <c r="DB65" s="8"/>
      <c r="DC65" s="8"/>
      <c r="DD65" s="8"/>
      <c r="DG65" s="8"/>
      <c r="DH65" s="8"/>
      <c r="DI65" s="8"/>
      <c r="DJ65" s="8"/>
      <c r="DK65" s="8"/>
      <c r="DL65" s="8"/>
      <c r="DM65" s="8"/>
      <c r="DN65" s="8"/>
      <c r="DO65" s="8"/>
      <c r="DP65" s="8"/>
      <c r="DQ65" s="8"/>
      <c r="DS65" s="8"/>
      <c r="DT65" s="8"/>
      <c r="DU65" s="8"/>
      <c r="DV65" s="8"/>
      <c r="DW65" s="8"/>
      <c r="DX65" s="8"/>
      <c r="DY65" s="208"/>
      <c r="DZ65" s="8"/>
      <c r="EA65" s="8"/>
      <c r="EB65" s="65"/>
      <c r="EC65" s="8"/>
      <c r="ED65" s="8"/>
      <c r="EE65" s="8"/>
      <c r="EF65" s="8"/>
      <c r="EG65" s="8"/>
      <c r="EH65" s="8"/>
      <c r="EI65" s="8"/>
      <c r="EJ65" s="8"/>
      <c r="EK65" s="8"/>
      <c r="EL65" s="8"/>
      <c r="EM65" s="8"/>
      <c r="EN65" s="8"/>
      <c r="EO65" s="8"/>
      <c r="EP65" s="8"/>
      <c r="EQ65" s="8"/>
      <c r="ER65" s="8"/>
      <c r="ES65" s="24"/>
      <c r="ET65" s="24"/>
      <c r="EU65" s="24"/>
      <c r="EV65" s="8"/>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s="8"/>
      <c r="GJ65" s="8"/>
      <c r="GK65" s="8"/>
    </row>
    <row r="66" spans="1:193" s="45" customFormat="1" x14ac:dyDescent="0.55000000000000004">
      <c r="A66" s="247" t="s">
        <v>39</v>
      </c>
      <c r="B66" s="247"/>
      <c r="C66" s="247"/>
      <c r="D66" s="7">
        <v>55000</v>
      </c>
      <c r="E66" s="8"/>
      <c r="F66" s="8"/>
      <c r="G66" s="8"/>
      <c r="H66" s="8"/>
      <c r="I66" s="8"/>
      <c r="J66" s="8"/>
      <c r="K66" s="8"/>
      <c r="L66" s="8"/>
      <c r="M66" s="8"/>
      <c r="N66" s="8"/>
      <c r="O66" s="8"/>
      <c r="P66" s="8"/>
      <c r="Q66" s="135"/>
      <c r="R66" s="135"/>
      <c r="S66" s="13"/>
      <c r="T66" s="13"/>
      <c r="U66" s="8"/>
      <c r="V66" s="8"/>
      <c r="W66" s="8"/>
      <c r="X66" s="8"/>
      <c r="Y66" s="8"/>
      <c r="Z66" s="8"/>
      <c r="AA66" s="8"/>
      <c r="AB66" s="8"/>
      <c r="AC66" s="8"/>
      <c r="AD66" s="8"/>
      <c r="AE66" s="8"/>
      <c r="AF66" s="8"/>
      <c r="AG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65"/>
      <c r="BW66" s="65"/>
      <c r="BX66" s="65"/>
      <c r="BY66" s="65"/>
      <c r="BZ66" s="65"/>
      <c r="CA66" s="65"/>
      <c r="CB66" s="65"/>
      <c r="CC66" s="65"/>
      <c r="CD66" s="65"/>
      <c r="CE66" s="65"/>
      <c r="CF66" s="65"/>
      <c r="CG66" s="65"/>
      <c r="CH66" s="65"/>
      <c r="CI66" s="65"/>
      <c r="CJ66" s="65"/>
      <c r="CK66" s="65"/>
      <c r="CL66" s="65"/>
      <c r="CM66" s="65"/>
      <c r="CN66" s="65"/>
      <c r="CO66" s="65"/>
      <c r="CP66" s="65"/>
      <c r="CQ66" s="65"/>
      <c r="CR66" s="65"/>
      <c r="CS66" s="65"/>
      <c r="CT66" s="8"/>
      <c r="CU66" s="8"/>
      <c r="CV66" s="8"/>
      <c r="CW66" s="8"/>
      <c r="CX66" s="8"/>
      <c r="CY66" s="8"/>
      <c r="CZ66" s="8"/>
      <c r="DA66" s="8"/>
      <c r="DB66" s="8"/>
      <c r="DC66" s="8"/>
      <c r="DD66" s="8"/>
      <c r="DG66" s="8"/>
      <c r="DH66" s="8"/>
      <c r="DI66" s="8"/>
      <c r="DJ66" s="8"/>
      <c r="DK66" s="8"/>
      <c r="DL66" s="8"/>
      <c r="DM66" s="8"/>
      <c r="DN66" s="8"/>
      <c r="DO66" s="8"/>
      <c r="DP66" s="8"/>
      <c r="DQ66" s="8"/>
      <c r="DS66" s="8"/>
      <c r="DT66" s="8"/>
      <c r="DU66" s="8"/>
      <c r="DV66" s="8"/>
      <c r="DW66" s="8"/>
      <c r="DX66" s="8"/>
      <c r="DY66" s="208"/>
      <c r="DZ66" s="8"/>
      <c r="EA66" s="8"/>
      <c r="EB66" s="65"/>
      <c r="EC66" s="8"/>
      <c r="ED66" s="8"/>
      <c r="EE66" s="8"/>
      <c r="EF66" s="8"/>
      <c r="EG66" s="8"/>
      <c r="EH66" s="8"/>
      <c r="EI66" s="8"/>
      <c r="EJ66" s="8"/>
      <c r="EK66" s="8"/>
      <c r="EL66" s="8"/>
      <c r="EM66" s="8"/>
      <c r="EN66" s="8"/>
      <c r="EO66" s="8"/>
      <c r="EP66" s="8"/>
      <c r="EQ66" s="8"/>
      <c r="ER66" s="8"/>
      <c r="ES66" s="24"/>
      <c r="ET66" s="24"/>
      <c r="EU66" s="24"/>
      <c r="EV66" s="8"/>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s="8"/>
      <c r="GJ66" s="8"/>
      <c r="GK66" s="8"/>
    </row>
    <row r="67" spans="1:193" s="45" customFormat="1" x14ac:dyDescent="0.55000000000000004">
      <c r="A67" s="223" t="s">
        <v>723</v>
      </c>
      <c r="B67" s="223"/>
      <c r="C67" s="223"/>
      <c r="D67" s="223"/>
      <c r="E67" s="8"/>
      <c r="F67" s="8"/>
      <c r="G67" s="8"/>
      <c r="H67" s="8"/>
      <c r="I67" s="8"/>
      <c r="J67" s="8"/>
      <c r="K67" s="8"/>
      <c r="L67" s="8"/>
      <c r="M67" s="8"/>
      <c r="N67" s="8"/>
      <c r="O67" s="8"/>
      <c r="P67" s="8"/>
      <c r="Q67" s="135"/>
      <c r="R67" s="135"/>
      <c r="S67" s="13"/>
      <c r="T67" s="13"/>
      <c r="U67" s="8"/>
      <c r="V67" s="8"/>
      <c r="W67" s="8"/>
      <c r="X67" s="8"/>
      <c r="Y67" s="8"/>
      <c r="Z67" s="8"/>
      <c r="AA67" s="8"/>
      <c r="AB67" s="8"/>
      <c r="AC67" s="8"/>
      <c r="AD67" s="8"/>
      <c r="AE67" s="8"/>
      <c r="AF67" s="8"/>
      <c r="AG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65"/>
      <c r="BW67" s="65"/>
      <c r="BX67" s="65"/>
      <c r="BY67" s="65"/>
      <c r="BZ67" s="65"/>
      <c r="CA67" s="65"/>
      <c r="CB67" s="65"/>
      <c r="CC67" s="65"/>
      <c r="CD67" s="65"/>
      <c r="CE67" s="65"/>
      <c r="CF67" s="65"/>
      <c r="CG67" s="65"/>
      <c r="CH67" s="65"/>
      <c r="CI67" s="65"/>
      <c r="CJ67" s="65"/>
      <c r="CK67" s="65"/>
      <c r="CL67" s="65"/>
      <c r="CM67" s="65"/>
      <c r="CN67" s="65"/>
      <c r="CO67" s="65"/>
      <c r="CP67" s="65"/>
      <c r="CQ67" s="65"/>
      <c r="CR67" s="65"/>
      <c r="CS67" s="65"/>
      <c r="CT67" s="8"/>
      <c r="CU67" s="8"/>
      <c r="CV67" s="8"/>
      <c r="CW67" s="8"/>
      <c r="CX67" s="8"/>
      <c r="CY67" s="8"/>
      <c r="CZ67" s="8"/>
      <c r="DA67" s="8"/>
      <c r="DB67" s="8"/>
      <c r="DC67" s="8"/>
      <c r="DD67" s="8"/>
      <c r="DG67" s="8"/>
      <c r="DH67" s="8"/>
      <c r="DI67" s="8"/>
      <c r="DJ67" s="8"/>
      <c r="DK67" s="8"/>
      <c r="DL67" s="8"/>
      <c r="DM67" s="8"/>
      <c r="DN67" s="8"/>
      <c r="DO67" s="8"/>
      <c r="DP67" s="8"/>
      <c r="DQ67" s="8"/>
      <c r="DS67" s="8"/>
      <c r="DT67" s="8"/>
      <c r="DU67" s="8"/>
      <c r="DV67" s="8"/>
      <c r="DW67" s="8"/>
      <c r="DX67" s="8"/>
      <c r="DY67" s="208"/>
      <c r="DZ67" s="8"/>
      <c r="EA67" s="8"/>
      <c r="EB67" s="65"/>
      <c r="EC67" s="8"/>
      <c r="ED67" s="8"/>
      <c r="EE67" s="8"/>
      <c r="EF67" s="8"/>
      <c r="EG67" s="8"/>
      <c r="EH67" s="8"/>
      <c r="EI67" s="8"/>
      <c r="EJ67" s="8"/>
      <c r="EK67" s="8"/>
      <c r="EL67" s="8"/>
      <c r="EM67" s="8"/>
      <c r="EN67" s="8"/>
      <c r="EO67" s="8"/>
      <c r="EP67" s="8"/>
      <c r="EQ67" s="8"/>
      <c r="ER67" s="8"/>
      <c r="ES67" s="24"/>
      <c r="ET67" s="24"/>
      <c r="EU67" s="24"/>
      <c r="EV67" s="8"/>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s="8"/>
      <c r="GJ67" s="8"/>
      <c r="GK67" s="8"/>
    </row>
    <row r="68" spans="1:193" s="45" customFormat="1" x14ac:dyDescent="0.55000000000000004">
      <c r="A68" s="247" t="s">
        <v>65</v>
      </c>
      <c r="B68" s="247"/>
      <c r="C68" s="247"/>
      <c r="D68" s="7">
        <f>SUM(U5:U39)</f>
        <v>0</v>
      </c>
      <c r="E68" s="8"/>
      <c r="F68" s="8"/>
      <c r="G68" s="8"/>
      <c r="H68" s="8"/>
      <c r="I68" s="8"/>
      <c r="J68" s="8"/>
      <c r="K68" s="8"/>
      <c r="L68" s="8"/>
      <c r="M68" s="8"/>
      <c r="N68" s="8"/>
      <c r="O68" s="8"/>
      <c r="P68" s="8"/>
      <c r="Q68" s="135"/>
      <c r="R68" s="135"/>
      <c r="S68" s="13"/>
      <c r="T68" s="13"/>
      <c r="U68" s="8"/>
      <c r="V68" s="8"/>
      <c r="W68" s="8"/>
      <c r="X68" s="8"/>
      <c r="Y68" s="8"/>
      <c r="Z68" s="8"/>
      <c r="AA68" s="8"/>
      <c r="AB68" s="8"/>
      <c r="AC68" s="8"/>
      <c r="AD68" s="8"/>
      <c r="AE68" s="8"/>
      <c r="AF68" s="8"/>
      <c r="AG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65"/>
      <c r="BW68" s="65"/>
      <c r="BX68" s="65"/>
      <c r="BY68" s="65"/>
      <c r="BZ68" s="65"/>
      <c r="CA68" s="65"/>
      <c r="CB68" s="65"/>
      <c r="CC68" s="65"/>
      <c r="CD68" s="65"/>
      <c r="CE68" s="65"/>
      <c r="CF68" s="65"/>
      <c r="CG68" s="65"/>
      <c r="CH68" s="65"/>
      <c r="CI68" s="65"/>
      <c r="CJ68" s="65"/>
      <c r="CK68" s="65"/>
      <c r="CL68" s="65"/>
      <c r="CM68" s="65"/>
      <c r="CN68" s="65"/>
      <c r="CO68" s="65"/>
      <c r="CP68" s="65"/>
      <c r="CQ68" s="65"/>
      <c r="CR68" s="65"/>
      <c r="CS68" s="65"/>
      <c r="CT68" s="8"/>
      <c r="CU68" s="8"/>
      <c r="CV68" s="8"/>
      <c r="CW68" s="8"/>
      <c r="CX68" s="8"/>
      <c r="CY68" s="8"/>
      <c r="CZ68" s="8"/>
      <c r="DA68" s="8"/>
      <c r="DB68" s="8"/>
      <c r="DC68" s="8"/>
      <c r="DD68" s="8"/>
      <c r="DG68" s="8"/>
      <c r="DH68" s="8"/>
      <c r="DI68" s="8"/>
      <c r="DJ68" s="8"/>
      <c r="DK68" s="8"/>
      <c r="DL68" s="8"/>
      <c r="DM68" s="8"/>
      <c r="DN68" s="8"/>
      <c r="DO68" s="8"/>
      <c r="DP68" s="8"/>
      <c r="DQ68" s="8"/>
      <c r="DS68" s="8"/>
      <c r="DT68" s="8"/>
      <c r="DU68" s="8"/>
      <c r="DV68" s="8"/>
      <c r="DW68" s="8"/>
      <c r="DX68" s="8"/>
      <c r="DY68" s="208"/>
      <c r="DZ68" s="8"/>
      <c r="EA68" s="8"/>
      <c r="EB68" s="65"/>
      <c r="EC68" s="8"/>
      <c r="ED68" s="8"/>
      <c r="EE68" s="8"/>
      <c r="EF68" s="8"/>
      <c r="EG68" s="8"/>
      <c r="EH68" s="8"/>
      <c r="EI68" s="8"/>
      <c r="EJ68" s="8"/>
      <c r="EK68" s="8"/>
      <c r="EL68" s="8"/>
      <c r="EM68" s="8"/>
      <c r="EN68" s="8"/>
      <c r="EO68" s="8"/>
      <c r="EP68" s="8"/>
      <c r="EQ68" s="8"/>
      <c r="ER68" s="8"/>
      <c r="ES68" s="24"/>
      <c r="ET68" s="24"/>
      <c r="EU68" s="24"/>
      <c r="EV68" s="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s="8"/>
      <c r="GJ68" s="8"/>
      <c r="GK68" s="8"/>
    </row>
    <row r="69" spans="1:193" x14ac:dyDescent="0.55000000000000004">
      <c r="A69" s="247" t="s">
        <v>74</v>
      </c>
      <c r="B69" s="247"/>
      <c r="C69" s="247"/>
      <c r="D69" s="7">
        <f>SUM(V5:V39)</f>
        <v>617524.85945559107</v>
      </c>
      <c r="E69" s="8"/>
      <c r="F69" s="8"/>
      <c r="G69" s="8"/>
      <c r="H69" s="8"/>
      <c r="I69" s="8"/>
      <c r="J69" s="8"/>
      <c r="K69" s="8"/>
      <c r="L69" s="8"/>
      <c r="M69" s="8"/>
      <c r="N69" s="8"/>
      <c r="O69" s="8"/>
      <c r="P69" s="8"/>
      <c r="S69" s="13"/>
      <c r="T69" s="13"/>
      <c r="U69" s="8"/>
      <c r="V69" s="8"/>
      <c r="W69" s="8"/>
      <c r="X69" s="8"/>
      <c r="Y69" s="8"/>
      <c r="Z69" s="8"/>
      <c r="AA69" s="8"/>
      <c r="AB69" s="8"/>
      <c r="AC69" s="8"/>
      <c r="AD69" s="8"/>
      <c r="AE69" s="8"/>
      <c r="AF69" s="8"/>
      <c r="AG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CT69" s="8"/>
      <c r="CU69" s="8"/>
      <c r="CV69" s="8"/>
      <c r="CW69" s="8"/>
      <c r="CX69" s="8"/>
      <c r="CY69" s="8"/>
      <c r="CZ69" s="8"/>
      <c r="DA69" s="8"/>
      <c r="DB69" s="8"/>
      <c r="DC69" s="8"/>
      <c r="DD69" s="8"/>
      <c r="DG69" s="8"/>
      <c r="DH69" s="8"/>
      <c r="DI69" s="8"/>
      <c r="DJ69" s="8"/>
      <c r="DK69" s="8"/>
      <c r="DL69" s="8"/>
      <c r="DM69" s="8"/>
      <c r="DN69" s="8"/>
      <c r="DO69" s="8"/>
      <c r="DP69" s="8"/>
      <c r="DQ69" s="8"/>
      <c r="DS69" s="8"/>
      <c r="DT69" s="8"/>
      <c r="DU69" s="8"/>
      <c r="DV69" s="8"/>
      <c r="DW69" s="8"/>
      <c r="DX69" s="8"/>
      <c r="DZ69" s="8"/>
      <c r="EA69" s="8"/>
      <c r="EC69" s="8"/>
      <c r="ED69" s="8"/>
      <c r="EE69" s="8"/>
      <c r="EF69" s="8"/>
      <c r="EG69" s="8"/>
      <c r="EH69" s="8"/>
      <c r="EI69" s="8"/>
      <c r="EJ69" s="8"/>
      <c r="EK69" s="8"/>
      <c r="EL69" s="8"/>
      <c r="EM69" s="8"/>
      <c r="EN69" s="8"/>
      <c r="EO69" s="8"/>
      <c r="EP69" s="8"/>
      <c r="EQ69" s="8"/>
      <c r="ER69" s="8"/>
      <c r="ES69" s="24"/>
      <c r="ET69" s="24"/>
      <c r="EU69" s="24"/>
      <c r="EV69" s="8"/>
    </row>
    <row r="70" spans="1:193" x14ac:dyDescent="0.55000000000000004">
      <c r="A70" s="216" t="s">
        <v>826</v>
      </c>
      <c r="B70" s="217"/>
      <c r="C70" s="217"/>
      <c r="D70" s="218"/>
      <c r="E70" s="8"/>
      <c r="F70" s="8"/>
      <c r="G70" s="8"/>
      <c r="H70" s="8"/>
      <c r="I70" s="8"/>
      <c r="J70" s="8"/>
      <c r="K70" s="8"/>
      <c r="L70" s="8"/>
      <c r="M70" s="8"/>
      <c r="N70" s="8"/>
      <c r="O70" s="8"/>
      <c r="P70" s="8"/>
      <c r="S70" s="13"/>
      <c r="T70" s="13"/>
      <c r="U70" s="8"/>
      <c r="V70" s="8"/>
      <c r="W70" s="8"/>
      <c r="X70" s="8"/>
      <c r="Y70" s="8"/>
      <c r="Z70" s="8"/>
      <c r="AA70" s="8"/>
      <c r="AB70" s="8"/>
      <c r="AC70" s="8"/>
      <c r="AD70" s="8"/>
      <c r="AE70" s="8"/>
      <c r="AF70" s="8"/>
      <c r="AG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CT70" s="8"/>
      <c r="CU70" s="8"/>
      <c r="CV70" s="8"/>
      <c r="CW70" s="8"/>
      <c r="CX70" s="8"/>
      <c r="CY70" s="8"/>
      <c r="CZ70" s="8"/>
      <c r="DA70" s="8"/>
      <c r="DB70" s="8"/>
      <c r="DC70" s="8"/>
      <c r="DD70" s="8"/>
      <c r="DG70" s="8"/>
      <c r="DH70" s="8"/>
      <c r="DI70" s="8"/>
      <c r="DJ70" s="8"/>
      <c r="DK70" s="8"/>
      <c r="DL70" s="8"/>
      <c r="DM70" s="8"/>
      <c r="DN70" s="8"/>
      <c r="DO70" s="8"/>
      <c r="DP70" s="8"/>
      <c r="DQ70" s="8"/>
      <c r="DS70" s="8"/>
      <c r="DT70" s="8"/>
      <c r="DU70" s="8"/>
      <c r="DV70" s="8"/>
      <c r="DW70" s="8"/>
      <c r="DX70" s="8"/>
      <c r="DZ70" s="8"/>
      <c r="EA70" s="8"/>
      <c r="EC70" s="8"/>
      <c r="ED70" s="8"/>
      <c r="EE70" s="8"/>
      <c r="EF70" s="8"/>
      <c r="EG70" s="8"/>
      <c r="EH70" s="8"/>
      <c r="EI70" s="8"/>
      <c r="EJ70" s="8"/>
      <c r="EK70" s="8"/>
      <c r="EL70" s="8"/>
      <c r="EM70" s="8"/>
      <c r="EN70" s="8"/>
      <c r="EO70" s="8"/>
      <c r="EP70" s="8"/>
      <c r="EQ70" s="8"/>
      <c r="ER70" s="8"/>
      <c r="ES70" s="24"/>
      <c r="ET70" s="24"/>
      <c r="EU70" s="24"/>
      <c r="EV70" s="8"/>
    </row>
    <row r="71" spans="1:193" x14ac:dyDescent="0.55000000000000004">
      <c r="A71" s="247" t="s">
        <v>827</v>
      </c>
      <c r="B71" s="247"/>
      <c r="C71" s="247"/>
      <c r="D71" s="29">
        <f>(AM$5 + SUMIF(B5:B39, "&lt;="&amp;G$151,FF$5:FF$39) + SUMIF(B5:B39, "&lt;="&amp;G$151,FG$5:FG$39) + SUMIF(B5:B39, "&lt;="&amp;G$151,FH$5:FH$39))/(G$78 + SUMIF(B5:B39, "&lt;="&amp;G$151,FE$5:FE$39) + SUMIF(B5:B39, "&lt;="&amp;G$151,FD$5:FD$39))</f>
        <v>0.86543771674980863</v>
      </c>
      <c r="E71" s="8"/>
      <c r="F71" s="8"/>
      <c r="G71" s="8"/>
      <c r="H71" s="8"/>
      <c r="I71" s="8"/>
      <c r="J71" s="8"/>
      <c r="K71" s="8"/>
      <c r="L71" s="8"/>
      <c r="M71" s="8"/>
      <c r="N71" s="8"/>
      <c r="O71" s="8"/>
      <c r="P71" s="8"/>
      <c r="S71" s="13"/>
      <c r="T71" s="13"/>
      <c r="U71" s="8"/>
      <c r="V71" s="8"/>
      <c r="W71" s="8"/>
      <c r="X71" s="8"/>
      <c r="Y71" s="8"/>
      <c r="Z71" s="8"/>
      <c r="AA71" s="8"/>
      <c r="AB71" s="8"/>
      <c r="AC71" s="8"/>
      <c r="AD71" s="8"/>
      <c r="AE71" s="8"/>
      <c r="AF71" s="8"/>
      <c r="AG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CT71" s="8"/>
      <c r="CU71" s="8"/>
      <c r="CV71" s="8"/>
      <c r="CW71" s="8"/>
      <c r="CX71" s="8"/>
      <c r="CY71" s="8"/>
      <c r="CZ71" s="8"/>
      <c r="DA71" s="8"/>
      <c r="DB71" s="8"/>
      <c r="DC71" s="8"/>
      <c r="DD71" s="8"/>
      <c r="DG71" s="8"/>
      <c r="DH71" s="8"/>
      <c r="DI71" s="8"/>
      <c r="DJ71" s="8"/>
      <c r="DK71" s="8"/>
      <c r="DL71" s="8"/>
      <c r="DM71" s="8"/>
      <c r="DN71" s="8"/>
      <c r="DO71" s="8"/>
      <c r="DP71" s="8"/>
      <c r="DQ71" s="8"/>
      <c r="DS71" s="8"/>
      <c r="DT71" s="8"/>
      <c r="DU71" s="8"/>
      <c r="DV71" s="8"/>
      <c r="DW71" s="8"/>
      <c r="DX71" s="8"/>
      <c r="DZ71" s="8"/>
      <c r="EA71" s="8"/>
      <c r="EC71" s="8"/>
      <c r="ED71" s="8"/>
      <c r="EE71" s="8"/>
      <c r="EF71" s="8"/>
      <c r="EG71" s="8"/>
      <c r="EH71" s="8"/>
      <c r="EI71" s="8"/>
      <c r="EJ71" s="8"/>
      <c r="EK71" s="8"/>
      <c r="EL71" s="8"/>
      <c r="EM71" s="8"/>
      <c r="EN71" s="8"/>
      <c r="EO71" s="8"/>
      <c r="EP71" s="8"/>
      <c r="EQ71" s="8"/>
      <c r="ER71" s="8"/>
      <c r="ES71" s="24"/>
      <c r="ET71" s="24"/>
      <c r="EU71" s="24"/>
      <c r="EV71" s="8"/>
    </row>
    <row r="72" spans="1:193" x14ac:dyDescent="0.55000000000000004">
      <c r="A72" s="247" t="s">
        <v>828</v>
      </c>
      <c r="B72" s="247"/>
      <c r="C72" s="247"/>
      <c r="D72" s="29">
        <f>(AM$5 + SUMIF(B5:B39, "&lt;="&amp;G$151,FF$5:FF$39) + SUMIF(B5:B39, "&lt;="&amp;G$151,FG$5:FG$39) + SUMIF(B5:B39, "&lt;="&amp;G$151,FH$5:FH$39))/(SUMIF(B5:B39, "&lt;="&amp;G$151,FE$5:FE$39) + SUMIF(B5:B39, "&lt;="&amp;G$151,FD$5:FD$39))</f>
        <v>0.88807935398805404</v>
      </c>
      <c r="E72" s="8"/>
      <c r="F72" s="8"/>
      <c r="G72" s="8"/>
      <c r="H72" s="8"/>
      <c r="I72" s="8"/>
      <c r="J72" s="8"/>
      <c r="K72" s="8"/>
      <c r="L72" s="8"/>
      <c r="M72" s="8"/>
      <c r="N72" s="8"/>
      <c r="O72" s="8"/>
      <c r="P72" s="8"/>
      <c r="S72" s="13"/>
      <c r="T72" s="13"/>
      <c r="U72" s="8"/>
      <c r="V72" s="8"/>
      <c r="W72" s="8"/>
      <c r="X72" s="8"/>
      <c r="Y72" s="8"/>
      <c r="Z72" s="8"/>
      <c r="AA72" s="8"/>
      <c r="AB72" s="8"/>
      <c r="AC72" s="8"/>
      <c r="AD72" s="8"/>
      <c r="AE72" s="8"/>
      <c r="AF72" s="8"/>
      <c r="AG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CT72" s="8"/>
      <c r="CU72" s="8"/>
      <c r="CV72" s="8"/>
      <c r="CW72" s="8"/>
      <c r="CX72" s="8"/>
      <c r="CY72" s="8"/>
      <c r="CZ72" s="8"/>
      <c r="DA72" s="8"/>
      <c r="DB72" s="8"/>
      <c r="DC72" s="8"/>
      <c r="DD72" s="8"/>
      <c r="DG72" s="8"/>
      <c r="DH72" s="8"/>
      <c r="DI72" s="8"/>
      <c r="DJ72" s="8"/>
      <c r="DK72" s="8"/>
      <c r="DL72" s="8"/>
      <c r="DM72" s="8"/>
      <c r="DN72" s="8"/>
      <c r="DO72" s="8"/>
      <c r="DP72" s="8"/>
      <c r="DQ72" s="8"/>
      <c r="DS72" s="8"/>
      <c r="DT72" s="8"/>
      <c r="DU72" s="8"/>
      <c r="DV72" s="8"/>
      <c r="DW72" s="8"/>
      <c r="DX72" s="8"/>
      <c r="DZ72" s="8"/>
      <c r="EA72" s="8"/>
      <c r="EC72" s="8"/>
      <c r="ED72" s="8"/>
      <c r="EE72" s="8"/>
      <c r="EF72" s="8"/>
      <c r="EG72" s="8"/>
      <c r="EH72" s="8"/>
      <c r="EI72" s="8"/>
      <c r="EJ72" s="8"/>
      <c r="EK72" s="8"/>
      <c r="EL72" s="8"/>
      <c r="EM72" s="8"/>
      <c r="EN72" s="8"/>
      <c r="EO72" s="8"/>
      <c r="EP72" s="8"/>
      <c r="EQ72" s="8"/>
      <c r="ER72" s="8"/>
      <c r="ES72" s="24"/>
      <c r="ET72" s="24"/>
      <c r="EU72" s="24"/>
      <c r="EV72" s="8"/>
    </row>
    <row r="73" spans="1:193" x14ac:dyDescent="0.55000000000000004">
      <c r="A73" s="13"/>
      <c r="B73" s="13"/>
      <c r="C73" s="13"/>
      <c r="D73" s="135"/>
      <c r="E73" s="8"/>
      <c r="F73" s="8"/>
      <c r="G73" s="8"/>
      <c r="H73" s="8"/>
      <c r="I73" s="8"/>
      <c r="J73" s="8"/>
      <c r="K73" s="8"/>
      <c r="L73" s="8"/>
      <c r="M73" s="8"/>
      <c r="N73" s="8"/>
      <c r="O73" s="8"/>
      <c r="P73" s="8"/>
      <c r="S73" s="13"/>
      <c r="T73" s="13"/>
      <c r="U73" s="8"/>
      <c r="V73" s="8"/>
      <c r="W73" s="8"/>
      <c r="X73" s="8"/>
      <c r="Y73" s="8"/>
      <c r="Z73" s="8"/>
      <c r="AA73" s="8"/>
      <c r="AB73" s="8"/>
      <c r="AC73" s="8"/>
      <c r="AD73" s="8"/>
      <c r="AE73" s="8"/>
      <c r="AF73" s="8"/>
      <c r="AG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CT73" s="8"/>
      <c r="CU73" s="8"/>
      <c r="CV73" s="8"/>
      <c r="CW73" s="8"/>
      <c r="CX73" s="8"/>
      <c r="CY73" s="8"/>
      <c r="CZ73" s="8"/>
      <c r="DA73" s="8"/>
      <c r="DB73" s="8"/>
      <c r="DC73" s="8"/>
      <c r="DD73" s="8"/>
      <c r="DG73" s="8"/>
      <c r="DH73" s="8"/>
      <c r="DI73" s="8"/>
      <c r="DJ73" s="8"/>
      <c r="DK73" s="8"/>
      <c r="DL73" s="8"/>
      <c r="DM73" s="8"/>
      <c r="DN73" s="8"/>
      <c r="DO73" s="8"/>
      <c r="DP73" s="8"/>
      <c r="DQ73" s="8"/>
      <c r="DS73" s="8"/>
      <c r="DT73" s="8"/>
      <c r="DU73" s="8"/>
      <c r="DV73" s="8"/>
      <c r="DW73" s="8"/>
      <c r="DX73" s="8"/>
      <c r="DZ73" s="8"/>
      <c r="EA73" s="8"/>
      <c r="EC73" s="8"/>
      <c r="ED73" s="8"/>
      <c r="EE73" s="8"/>
      <c r="EF73" s="8"/>
      <c r="EG73" s="8"/>
      <c r="EH73" s="8"/>
      <c r="EI73" s="8"/>
      <c r="EJ73" s="8"/>
      <c r="EK73" s="8"/>
      <c r="EL73" s="8"/>
      <c r="EM73" s="8"/>
      <c r="EN73" s="8"/>
      <c r="EO73" s="8"/>
      <c r="EP73" s="8"/>
      <c r="EQ73" s="8"/>
      <c r="ER73" s="8"/>
      <c r="ES73" s="24"/>
      <c r="ET73" s="24"/>
      <c r="EU73" s="24"/>
      <c r="EV73" s="8"/>
    </row>
    <row r="74" spans="1:193" x14ac:dyDescent="0.55000000000000004">
      <c r="A74" s="223" t="s">
        <v>622</v>
      </c>
      <c r="B74" s="223"/>
      <c r="C74" s="223"/>
      <c r="D74" s="223"/>
      <c r="E74" s="223"/>
      <c r="F74" s="223"/>
      <c r="G74" s="223"/>
      <c r="H74" s="8"/>
      <c r="I74" s="8"/>
      <c r="J74" s="8"/>
      <c r="K74" s="8"/>
      <c r="L74" s="8"/>
      <c r="M74" s="8"/>
      <c r="N74" s="8"/>
      <c r="O74" s="8"/>
      <c r="P74" s="8"/>
      <c r="S74" s="13"/>
      <c r="T74" s="13"/>
      <c r="U74" s="8"/>
      <c r="V74" s="8"/>
      <c r="W74" s="8"/>
      <c r="X74" s="8"/>
      <c r="Y74" s="8"/>
      <c r="Z74" s="8"/>
      <c r="AA74" s="8"/>
      <c r="AB74" s="8"/>
      <c r="AC74" s="8"/>
      <c r="AD74" s="8"/>
      <c r="AE74" s="8"/>
      <c r="AF74" s="8"/>
      <c r="AG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CT74" s="8"/>
      <c r="CU74" s="8"/>
      <c r="CV74" s="8"/>
      <c r="CW74" s="8"/>
      <c r="CX74" s="8"/>
      <c r="CY74" s="8"/>
      <c r="CZ74" s="8"/>
      <c r="DA74" s="8"/>
      <c r="DB74" s="8"/>
      <c r="DC74" s="8"/>
      <c r="DD74" s="8"/>
      <c r="DG74" s="8"/>
      <c r="DH74" s="8"/>
      <c r="DI74" s="8"/>
      <c r="DJ74" s="8"/>
      <c r="DK74" s="8"/>
      <c r="DL74" s="8"/>
      <c r="DM74" s="8"/>
      <c r="DN74" s="8"/>
      <c r="DO74" s="8"/>
      <c r="DP74" s="8"/>
      <c r="DQ74" s="8"/>
      <c r="DS74" s="8"/>
      <c r="DT74" s="8"/>
      <c r="DU74" s="8"/>
      <c r="DV74" s="8"/>
      <c r="DW74" s="8"/>
      <c r="DX74" s="8"/>
      <c r="DZ74" s="8"/>
      <c r="EA74" s="8"/>
      <c r="EC74" s="8"/>
      <c r="ED74" s="8"/>
      <c r="EE74" s="8"/>
      <c r="EF74" s="8"/>
      <c r="EG74" s="8"/>
      <c r="EH74" s="8"/>
      <c r="EI74" s="8"/>
      <c r="EJ74" s="8"/>
      <c r="EK74" s="8"/>
      <c r="EL74" s="8"/>
      <c r="EM74" s="8"/>
      <c r="EN74" s="8"/>
      <c r="EO74" s="8"/>
      <c r="EP74" s="8"/>
      <c r="EQ74" s="8"/>
      <c r="ER74" s="8"/>
      <c r="ES74" s="24"/>
      <c r="ET74" s="24"/>
      <c r="EU74" s="24"/>
      <c r="EV74" s="8"/>
    </row>
    <row r="75" spans="1:193" x14ac:dyDescent="0.55000000000000004">
      <c r="A75" s="224" t="s">
        <v>783</v>
      </c>
      <c r="B75" s="225"/>
      <c r="C75" s="225"/>
      <c r="D75" s="225"/>
      <c r="E75" s="225"/>
      <c r="F75" s="5"/>
      <c r="G75" s="137">
        <v>55000</v>
      </c>
      <c r="H75" s="8"/>
      <c r="I75" s="8"/>
      <c r="J75" s="8"/>
      <c r="K75" s="8"/>
      <c r="L75" s="8"/>
      <c r="M75" s="8"/>
      <c r="N75" s="8"/>
      <c r="O75" s="8"/>
      <c r="P75" s="8"/>
      <c r="S75" s="13"/>
      <c r="T75" s="13"/>
      <c r="U75" s="8"/>
      <c r="V75" s="8"/>
      <c r="W75" s="8"/>
      <c r="X75" s="8"/>
      <c r="Y75" s="8"/>
      <c r="Z75" s="8"/>
      <c r="AA75" s="8"/>
      <c r="AB75" s="8"/>
      <c r="AC75" s="8"/>
      <c r="AD75" s="8"/>
      <c r="AE75" s="8"/>
      <c r="AF75" s="8"/>
      <c r="AG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CT75" s="8"/>
      <c r="CU75" s="8"/>
      <c r="CV75" s="8"/>
      <c r="CW75" s="8"/>
      <c r="CX75" s="8"/>
      <c r="CY75" s="8"/>
      <c r="CZ75" s="8"/>
      <c r="DA75" s="8"/>
      <c r="DB75" s="8"/>
      <c r="DC75" s="8"/>
      <c r="DD75" s="8"/>
      <c r="DG75" s="8"/>
      <c r="DH75" s="8"/>
      <c r="DI75" s="8"/>
      <c r="DJ75" s="8"/>
      <c r="DK75" s="8"/>
      <c r="DL75" s="8"/>
      <c r="DM75" s="8"/>
      <c r="DN75" s="8"/>
      <c r="DO75" s="8"/>
      <c r="DP75" s="8"/>
      <c r="DQ75" s="8"/>
      <c r="DS75" s="8"/>
      <c r="DT75" s="8"/>
      <c r="DU75" s="8"/>
      <c r="DV75" s="8"/>
      <c r="DW75" s="8"/>
      <c r="DX75" s="8"/>
      <c r="DZ75" s="8"/>
      <c r="EA75" s="8"/>
      <c r="EC75" s="8"/>
      <c r="ED75" s="8"/>
      <c r="EE75" s="8"/>
      <c r="EF75" s="8"/>
      <c r="EG75" s="8"/>
      <c r="EH75" s="8"/>
      <c r="EI75" s="8"/>
      <c r="EJ75" s="8"/>
      <c r="EK75" s="8"/>
      <c r="EL75" s="8"/>
      <c r="EM75" s="8"/>
      <c r="EN75" s="8"/>
      <c r="EO75" s="8"/>
      <c r="EP75" s="8"/>
      <c r="EQ75" s="8"/>
      <c r="ER75" s="8"/>
      <c r="ES75" s="24"/>
      <c r="ET75" s="24"/>
      <c r="EU75" s="24"/>
      <c r="EV75" s="8"/>
    </row>
    <row r="76" spans="1:193" x14ac:dyDescent="0.55000000000000004">
      <c r="A76" s="224" t="s">
        <v>725</v>
      </c>
      <c r="B76" s="225"/>
      <c r="C76" s="225"/>
      <c r="D76" s="225"/>
      <c r="E76" s="225"/>
      <c r="F76" s="5"/>
      <c r="G76" s="139">
        <v>0</v>
      </c>
      <c r="H76" s="8"/>
      <c r="I76" s="8"/>
      <c r="J76" s="8"/>
      <c r="K76" s="8"/>
      <c r="L76" s="8"/>
      <c r="M76" s="8"/>
      <c r="N76" s="8"/>
      <c r="O76" s="8"/>
      <c r="P76" s="8"/>
      <c r="S76" s="13"/>
      <c r="T76" s="13"/>
      <c r="U76" s="8"/>
      <c r="V76" s="8"/>
      <c r="W76" s="8"/>
      <c r="X76" s="8"/>
      <c r="Y76" s="8"/>
      <c r="Z76" s="8"/>
      <c r="AA76" s="8"/>
      <c r="AB76" s="8"/>
      <c r="AC76" s="8"/>
      <c r="AD76" s="8"/>
      <c r="AE76" s="8"/>
      <c r="AF76" s="8"/>
      <c r="AG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CT76" s="8"/>
      <c r="CU76" s="8"/>
      <c r="CV76" s="8"/>
      <c r="CW76" s="8"/>
      <c r="CX76" s="8"/>
      <c r="CY76" s="8"/>
      <c r="CZ76" s="8"/>
      <c r="DA76" s="8"/>
      <c r="DB76" s="8"/>
      <c r="DC76" s="8"/>
      <c r="DD76" s="8"/>
      <c r="DG76" s="8"/>
      <c r="DH76" s="8"/>
      <c r="DI76" s="8"/>
      <c r="DJ76" s="8"/>
      <c r="DK76" s="8"/>
      <c r="DL76" s="8"/>
      <c r="DM76" s="8"/>
      <c r="DN76" s="8"/>
      <c r="DO76" s="8"/>
      <c r="DP76" s="8"/>
      <c r="DQ76" s="8"/>
      <c r="DS76" s="8"/>
      <c r="DT76" s="8"/>
      <c r="DU76" s="8"/>
      <c r="DV76" s="8"/>
      <c r="DW76" s="8"/>
      <c r="DX76" s="8"/>
      <c r="DZ76" s="8"/>
      <c r="EA76" s="8"/>
      <c r="EC76" s="8"/>
      <c r="ED76" s="8"/>
      <c r="EE76" s="8"/>
      <c r="EF76" s="8"/>
      <c r="EG76" s="8"/>
      <c r="EH76" s="8"/>
      <c r="EI76" s="8"/>
      <c r="EJ76" s="8"/>
      <c r="EK76" s="8"/>
      <c r="EL76" s="8"/>
      <c r="EM76" s="8"/>
      <c r="EN76" s="8"/>
      <c r="EO76" s="8"/>
      <c r="EP76" s="8"/>
      <c r="EQ76" s="8"/>
      <c r="ER76" s="8"/>
      <c r="ES76" s="24"/>
      <c r="ET76" s="24"/>
      <c r="EU76" s="24"/>
      <c r="EV76" s="8"/>
    </row>
    <row r="77" spans="1:193" x14ac:dyDescent="0.55000000000000004">
      <c r="A77" s="224" t="s">
        <v>55</v>
      </c>
      <c r="B77" s="225"/>
      <c r="C77" s="225"/>
      <c r="D77" s="225"/>
      <c r="E77" s="225"/>
      <c r="F77" s="5"/>
      <c r="G77" s="137">
        <v>10</v>
      </c>
      <c r="H77" s="8"/>
      <c r="I77" s="8"/>
      <c r="J77" s="8"/>
      <c r="K77" s="8"/>
      <c r="L77" s="8"/>
      <c r="M77" s="8"/>
      <c r="N77" s="8"/>
      <c r="O77" s="8"/>
      <c r="P77" s="8"/>
      <c r="S77" s="13"/>
      <c r="T77" s="13"/>
      <c r="U77" s="8"/>
      <c r="V77" s="8"/>
      <c r="W77" s="8"/>
      <c r="X77" s="8"/>
      <c r="Y77" s="8"/>
      <c r="Z77" s="8"/>
      <c r="AA77" s="8"/>
      <c r="AB77" s="8"/>
      <c r="AC77" s="8"/>
      <c r="AD77" s="8"/>
      <c r="AE77" s="8"/>
      <c r="AF77" s="8"/>
      <c r="AG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CT77" s="8"/>
      <c r="CU77" s="8"/>
      <c r="CV77" s="8"/>
      <c r="CW77" s="8"/>
      <c r="CX77" s="8"/>
      <c r="CY77" s="8"/>
      <c r="CZ77" s="8"/>
      <c r="DA77" s="8"/>
      <c r="DB77" s="8"/>
      <c r="DC77" s="8"/>
      <c r="DD77" s="8"/>
      <c r="DG77" s="8"/>
      <c r="DH77" s="8"/>
      <c r="DI77" s="8"/>
      <c r="DJ77" s="8"/>
      <c r="DK77" s="8"/>
      <c r="DL77" s="8"/>
      <c r="DM77" s="8"/>
      <c r="DN77" s="8"/>
      <c r="DO77" s="8"/>
      <c r="DP77" s="8"/>
      <c r="DQ77" s="8"/>
      <c r="DS77" s="8"/>
      <c r="DT77" s="8"/>
      <c r="DU77" s="8"/>
      <c r="DV77" s="8"/>
      <c r="DW77" s="8"/>
      <c r="DX77" s="8"/>
      <c r="DZ77" s="8"/>
      <c r="EA77" s="8"/>
      <c r="EC77" s="8"/>
      <c r="ED77" s="8"/>
      <c r="EE77" s="8"/>
      <c r="EF77" s="8"/>
      <c r="EG77" s="8"/>
      <c r="EH77" s="8"/>
      <c r="EI77" s="8"/>
      <c r="EJ77" s="8"/>
      <c r="EK77" s="8"/>
      <c r="EL77" s="8"/>
      <c r="EM77" s="8"/>
      <c r="EN77" s="8"/>
      <c r="EO77" s="8"/>
      <c r="EP77" s="8"/>
      <c r="EQ77" s="8"/>
      <c r="ER77" s="8"/>
      <c r="ES77" s="24"/>
      <c r="ET77" s="24"/>
      <c r="EU77" s="24"/>
      <c r="EV77" s="8"/>
    </row>
    <row r="78" spans="1:193" x14ac:dyDescent="0.55000000000000004">
      <c r="A78" s="224" t="s">
        <v>56</v>
      </c>
      <c r="B78" s="225"/>
      <c r="C78" s="225"/>
      <c r="D78" s="225"/>
      <c r="E78" s="225"/>
      <c r="F78" s="5"/>
      <c r="G78" s="137">
        <v>50000</v>
      </c>
      <c r="H78" s="8"/>
      <c r="I78" s="8"/>
      <c r="J78" s="8"/>
      <c r="K78" s="8"/>
      <c r="L78" s="8"/>
      <c r="M78" s="8"/>
      <c r="N78" s="8"/>
      <c r="O78" s="8"/>
      <c r="P78" s="8"/>
      <c r="S78" s="13"/>
      <c r="T78" s="13"/>
      <c r="U78" s="8"/>
      <c r="V78" s="8"/>
      <c r="W78" s="8"/>
      <c r="X78" s="8"/>
      <c r="Y78" s="8"/>
      <c r="Z78" s="8"/>
      <c r="AA78" s="8"/>
      <c r="AB78" s="8"/>
      <c r="AC78" s="8"/>
      <c r="AD78" s="8"/>
      <c r="AE78" s="8"/>
      <c r="AF78" s="8"/>
      <c r="AG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CT78" s="8"/>
      <c r="CU78" s="8"/>
      <c r="CV78" s="8"/>
      <c r="CW78" s="8"/>
      <c r="CX78" s="8"/>
      <c r="CY78" s="8"/>
      <c r="CZ78" s="8"/>
      <c r="DA78" s="8"/>
      <c r="DB78" s="8"/>
      <c r="DC78" s="8"/>
      <c r="DD78" s="8"/>
      <c r="DG78" s="8"/>
      <c r="DH78" s="8"/>
      <c r="DI78" s="8"/>
      <c r="DJ78" s="8"/>
      <c r="DK78" s="8"/>
      <c r="DL78" s="8"/>
      <c r="DM78" s="8"/>
      <c r="DN78" s="8"/>
      <c r="DO78" s="8"/>
      <c r="DP78" s="8"/>
      <c r="DQ78" s="8"/>
      <c r="DS78" s="8"/>
      <c r="DT78" s="8"/>
      <c r="DU78" s="8"/>
      <c r="DV78" s="8"/>
      <c r="DW78" s="8"/>
      <c r="DX78" s="8"/>
      <c r="DZ78" s="8"/>
      <c r="EA78" s="8"/>
      <c r="EC78" s="8"/>
      <c r="ED78" s="8"/>
      <c r="EE78" s="8"/>
      <c r="EF78" s="8"/>
      <c r="EG78" s="8"/>
      <c r="EH78" s="8"/>
      <c r="EI78" s="8"/>
      <c r="EJ78" s="8"/>
      <c r="EK78" s="8"/>
      <c r="EL78" s="8"/>
      <c r="EM78" s="8"/>
      <c r="EN78" s="8"/>
      <c r="EO78" s="8"/>
      <c r="EP78" s="8"/>
      <c r="EQ78" s="8"/>
      <c r="ER78" s="8"/>
      <c r="ES78" s="24"/>
      <c r="ET78" s="24"/>
      <c r="EU78" s="24"/>
      <c r="EV78" s="8"/>
    </row>
    <row r="79" spans="1:193" x14ac:dyDescent="0.55000000000000004">
      <c r="A79" s="224" t="s">
        <v>726</v>
      </c>
      <c r="B79" s="225"/>
      <c r="C79" s="225"/>
      <c r="D79" s="225"/>
      <c r="E79" s="225"/>
      <c r="F79" s="5"/>
      <c r="G79" s="139">
        <v>0.8</v>
      </c>
      <c r="H79" s="8"/>
      <c r="I79" s="8"/>
      <c r="J79" s="8"/>
      <c r="K79" s="8"/>
      <c r="L79" s="8"/>
      <c r="M79" s="8"/>
      <c r="N79" s="8"/>
      <c r="O79" s="8"/>
      <c r="P79" s="8"/>
      <c r="S79" s="13"/>
      <c r="T79" s="13"/>
      <c r="U79" s="8"/>
      <c r="V79" s="8"/>
      <c r="W79" s="8"/>
      <c r="X79" s="8"/>
      <c r="Y79" s="8"/>
      <c r="Z79" s="8"/>
      <c r="AA79" s="8"/>
      <c r="AB79" s="8"/>
      <c r="AC79" s="8"/>
      <c r="AD79" s="8"/>
      <c r="AE79" s="8"/>
      <c r="AF79" s="8"/>
      <c r="AG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CT79" s="8"/>
      <c r="CU79" s="8"/>
      <c r="CV79" s="8"/>
      <c r="CW79" s="8"/>
      <c r="CX79" s="8"/>
      <c r="CY79" s="8"/>
      <c r="CZ79" s="8"/>
      <c r="DA79" s="8"/>
      <c r="DB79" s="8"/>
      <c r="DC79" s="8"/>
      <c r="DD79" s="8"/>
      <c r="DG79" s="8"/>
      <c r="DH79" s="8"/>
      <c r="DI79" s="8"/>
      <c r="DJ79" s="8"/>
      <c r="DK79" s="8"/>
      <c r="DL79" s="8"/>
      <c r="DM79" s="8"/>
      <c r="DN79" s="8"/>
      <c r="DO79" s="8"/>
      <c r="DP79" s="8"/>
      <c r="DQ79" s="8"/>
      <c r="DS79" s="8"/>
      <c r="DT79" s="8"/>
      <c r="DU79" s="8"/>
      <c r="DV79" s="8"/>
      <c r="DW79" s="8"/>
      <c r="DX79" s="8"/>
      <c r="DZ79" s="8"/>
      <c r="EA79" s="8"/>
      <c r="EC79" s="8"/>
      <c r="ED79" s="8"/>
      <c r="EE79" s="8"/>
      <c r="EF79" s="8"/>
      <c r="EG79" s="8"/>
      <c r="EH79" s="8"/>
      <c r="EI79" s="8"/>
      <c r="EJ79" s="8"/>
      <c r="EK79" s="8"/>
      <c r="EL79" s="8"/>
      <c r="EM79" s="8"/>
      <c r="EN79" s="8"/>
      <c r="EO79" s="8"/>
      <c r="EP79" s="8"/>
      <c r="EQ79" s="8"/>
      <c r="ER79" s="8"/>
      <c r="ES79" s="24"/>
      <c r="ET79" s="24"/>
      <c r="EU79" s="24"/>
      <c r="EV79" s="8"/>
    </row>
    <row r="80" spans="1:193" x14ac:dyDescent="0.55000000000000004">
      <c r="A80" s="224" t="s">
        <v>576</v>
      </c>
      <c r="B80" s="225"/>
      <c r="C80" s="225"/>
      <c r="D80" s="225"/>
      <c r="E80" s="225"/>
      <c r="F80" s="5"/>
      <c r="G80" s="137">
        <v>0</v>
      </c>
      <c r="H80" s="8"/>
      <c r="I80" s="8"/>
      <c r="J80" s="8"/>
      <c r="K80" s="8"/>
      <c r="L80" s="8"/>
      <c r="M80" s="8"/>
      <c r="N80" s="8"/>
      <c r="O80" s="8"/>
      <c r="P80" s="8"/>
      <c r="S80" s="13"/>
      <c r="T80" s="13"/>
      <c r="U80" s="8"/>
      <c r="V80" s="8"/>
      <c r="W80" s="8"/>
      <c r="X80" s="8"/>
      <c r="Y80" s="8"/>
      <c r="Z80" s="8"/>
      <c r="AA80" s="8"/>
      <c r="AB80" s="8"/>
      <c r="AC80" s="8"/>
      <c r="AD80" s="8"/>
      <c r="AE80" s="8"/>
      <c r="AF80" s="8"/>
      <c r="AG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CT80" s="8"/>
      <c r="CU80" s="8"/>
      <c r="CV80" s="8"/>
      <c r="CW80" s="8"/>
      <c r="CX80" s="8"/>
      <c r="CY80" s="8"/>
      <c r="CZ80" s="8"/>
      <c r="DA80" s="8"/>
      <c r="DB80" s="8"/>
      <c r="DC80" s="8"/>
      <c r="DD80" s="8"/>
      <c r="DG80" s="8"/>
      <c r="DH80" s="8"/>
      <c r="DI80" s="8"/>
      <c r="DJ80" s="8"/>
      <c r="DK80" s="8"/>
      <c r="DL80" s="8"/>
      <c r="DM80" s="8"/>
      <c r="DN80" s="8"/>
      <c r="DO80" s="8"/>
      <c r="DP80" s="8"/>
      <c r="DQ80" s="8"/>
      <c r="DS80" s="8"/>
      <c r="DT80" s="8"/>
      <c r="DU80" s="8"/>
      <c r="DV80" s="8"/>
      <c r="DW80" s="8"/>
      <c r="DX80" s="8"/>
      <c r="DZ80" s="8"/>
      <c r="EA80" s="8"/>
      <c r="EC80" s="8"/>
      <c r="ED80" s="8"/>
      <c r="EE80" s="8"/>
      <c r="EF80" s="8"/>
      <c r="EG80" s="8"/>
      <c r="EH80" s="8"/>
      <c r="EI80" s="8"/>
      <c r="EJ80" s="8"/>
      <c r="EK80" s="8"/>
      <c r="EL80" s="8"/>
      <c r="EM80" s="8"/>
      <c r="EN80" s="8"/>
      <c r="EO80" s="8"/>
      <c r="EP80" s="8"/>
      <c r="EQ80" s="8"/>
      <c r="ER80" s="8"/>
      <c r="ES80" s="24"/>
      <c r="ET80" s="24"/>
      <c r="EU80" s="24"/>
      <c r="EV80" s="8"/>
    </row>
    <row r="81" spans="1:153" x14ac:dyDescent="0.55000000000000004">
      <c r="A81" s="224" t="s">
        <v>577</v>
      </c>
      <c r="B81" s="225"/>
      <c r="C81" s="225"/>
      <c r="D81" s="225"/>
      <c r="E81" s="225"/>
      <c r="F81" s="5"/>
      <c r="G81" s="139">
        <v>2024</v>
      </c>
      <c r="H81" s="8"/>
      <c r="I81" s="8"/>
      <c r="J81" s="8"/>
      <c r="K81" s="8"/>
      <c r="L81" s="8"/>
      <c r="M81" s="8"/>
      <c r="N81" s="8"/>
      <c r="O81" s="8"/>
      <c r="P81" s="8"/>
      <c r="S81" s="13"/>
      <c r="T81" s="13"/>
      <c r="U81" s="8"/>
      <c r="V81" s="8"/>
      <c r="W81" s="8"/>
      <c r="X81" s="8"/>
      <c r="Y81" s="8"/>
      <c r="Z81" s="8"/>
      <c r="AA81" s="8"/>
      <c r="AB81" s="8"/>
      <c r="AC81" s="8"/>
      <c r="AD81" s="8"/>
      <c r="AE81" s="8"/>
      <c r="AF81" s="8"/>
      <c r="AG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CT81" s="8"/>
      <c r="CU81" s="8"/>
      <c r="CV81" s="8"/>
      <c r="CW81" s="8"/>
      <c r="CX81" s="8"/>
      <c r="CY81" s="8"/>
      <c r="CZ81" s="8"/>
      <c r="DA81" s="8"/>
      <c r="DB81" s="8"/>
      <c r="DC81" s="8"/>
      <c r="DD81" s="8"/>
      <c r="DG81" s="8"/>
      <c r="DH81" s="8"/>
      <c r="DI81" s="8"/>
      <c r="DJ81" s="8"/>
      <c r="DK81" s="8"/>
      <c r="DL81" s="8"/>
      <c r="DM81" s="8"/>
      <c r="DN81" s="8"/>
      <c r="DO81" s="8"/>
      <c r="DP81" s="8"/>
      <c r="DQ81" s="8"/>
      <c r="DS81" s="8"/>
      <c r="DT81" s="8"/>
      <c r="DU81" s="8"/>
      <c r="DV81" s="8"/>
      <c r="DW81" s="8"/>
      <c r="DX81" s="8"/>
      <c r="DZ81" s="8"/>
      <c r="EA81" s="8"/>
      <c r="EC81" s="8"/>
      <c r="ED81" s="8"/>
      <c r="EE81" s="8"/>
      <c r="EF81" s="8"/>
      <c r="EG81" s="8"/>
      <c r="EH81" s="8"/>
      <c r="EI81" s="8"/>
      <c r="EJ81" s="8"/>
      <c r="EK81" s="8"/>
      <c r="EL81" s="8"/>
      <c r="EM81" s="8"/>
      <c r="EN81" s="8"/>
      <c r="EO81" s="8"/>
      <c r="EP81" s="8"/>
      <c r="EQ81" s="8"/>
      <c r="ER81" s="8"/>
      <c r="ES81" s="24"/>
      <c r="ET81" s="24"/>
      <c r="EU81" s="24"/>
      <c r="EV81" s="8"/>
    </row>
    <row r="82" spans="1:153" x14ac:dyDescent="0.55000000000000004">
      <c r="A82" s="224" t="s">
        <v>578</v>
      </c>
      <c r="B82" s="225"/>
      <c r="C82" s="225"/>
      <c r="D82" s="225"/>
      <c r="E82" s="225"/>
      <c r="F82" s="5"/>
      <c r="G82" s="139">
        <v>2035</v>
      </c>
      <c r="H82" s="8"/>
      <c r="I82" s="8"/>
      <c r="J82" s="8"/>
      <c r="K82" s="8"/>
      <c r="L82" s="8"/>
      <c r="M82" s="8"/>
      <c r="N82" s="8"/>
      <c r="O82" s="8"/>
      <c r="P82" s="8"/>
      <c r="S82" s="13"/>
      <c r="T82" s="13"/>
      <c r="U82" s="8"/>
      <c r="V82" s="8"/>
      <c r="W82" s="8"/>
      <c r="X82" s="8"/>
      <c r="Y82" s="8"/>
      <c r="Z82" s="8"/>
      <c r="AA82" s="8"/>
      <c r="AB82" s="8"/>
      <c r="AC82" s="8"/>
      <c r="AD82" s="8"/>
      <c r="AE82" s="8"/>
      <c r="AF82" s="8"/>
      <c r="AG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CT82" s="8"/>
      <c r="CU82" s="8"/>
      <c r="CV82" s="8"/>
      <c r="CW82" s="8"/>
      <c r="CX82" s="8"/>
      <c r="CY82" s="8"/>
      <c r="CZ82" s="8"/>
      <c r="DA82" s="8"/>
      <c r="DB82" s="8"/>
      <c r="DC82" s="8"/>
      <c r="DD82" s="8"/>
      <c r="DG82" s="8"/>
      <c r="DH82" s="8"/>
      <c r="DI82" s="8"/>
      <c r="DJ82" s="8"/>
      <c r="DK82" s="8"/>
      <c r="DL82" s="8"/>
      <c r="DM82" s="8"/>
      <c r="DN82" s="8"/>
      <c r="DO82" s="8"/>
      <c r="DP82" s="8"/>
      <c r="DQ82" s="8"/>
      <c r="DS82" s="8"/>
      <c r="DT82" s="8"/>
      <c r="DU82" s="8"/>
      <c r="DV82" s="8"/>
      <c r="DW82" s="8"/>
      <c r="DX82" s="8"/>
      <c r="DZ82" s="8"/>
      <c r="EA82" s="8"/>
      <c r="EC82" s="8"/>
      <c r="ED82" s="8"/>
      <c r="EE82" s="8"/>
      <c r="EF82" s="8"/>
      <c r="EG82" s="8"/>
      <c r="EH82" s="8"/>
      <c r="EI82" s="8"/>
      <c r="EJ82" s="8"/>
      <c r="EK82" s="8"/>
      <c r="EL82" s="8"/>
      <c r="EM82" s="8"/>
      <c r="EN82" s="8"/>
      <c r="EO82" s="8"/>
      <c r="EP82" s="8"/>
      <c r="EQ82" s="8"/>
      <c r="ER82" s="8"/>
      <c r="ES82" s="24"/>
      <c r="ET82" s="24"/>
      <c r="EU82" s="24"/>
      <c r="EV82" s="8"/>
    </row>
    <row r="83" spans="1:153" x14ac:dyDescent="0.55000000000000004">
      <c r="A83" s="224" t="s">
        <v>63</v>
      </c>
      <c r="B83" s="225"/>
      <c r="C83" s="225"/>
      <c r="D83" s="225"/>
      <c r="E83" s="225"/>
      <c r="F83" s="5"/>
      <c r="G83" s="46" t="s">
        <v>64</v>
      </c>
      <c r="H83" s="8"/>
      <c r="I83" s="8"/>
      <c r="J83" s="8"/>
      <c r="K83" s="8"/>
      <c r="L83" s="8"/>
      <c r="M83" s="8"/>
      <c r="N83" s="8"/>
      <c r="O83" s="8"/>
      <c r="P83" s="8"/>
      <c r="S83" s="13"/>
      <c r="T83" s="13"/>
      <c r="U83" s="8"/>
      <c r="V83" s="8"/>
      <c r="W83" s="8"/>
      <c r="X83" s="8"/>
      <c r="Y83" s="8"/>
      <c r="Z83" s="8"/>
      <c r="AA83" s="8"/>
      <c r="AB83" s="8"/>
      <c r="AC83" s="8"/>
      <c r="AD83" s="8"/>
      <c r="AE83" s="8"/>
      <c r="AF83" s="8"/>
      <c r="AG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CT83" s="8"/>
      <c r="CU83" s="8"/>
      <c r="CV83" s="8"/>
      <c r="CW83" s="8"/>
      <c r="CX83" s="8"/>
      <c r="CY83" s="8"/>
      <c r="CZ83" s="8"/>
      <c r="DA83" s="8"/>
      <c r="DB83" s="8"/>
      <c r="DC83" s="8"/>
      <c r="DD83" s="8"/>
      <c r="DG83" s="8"/>
      <c r="DH83" s="8"/>
      <c r="DI83" s="8"/>
      <c r="DJ83" s="8"/>
      <c r="DK83" s="8"/>
      <c r="DL83" s="8"/>
      <c r="DM83" s="8"/>
      <c r="DN83" s="8"/>
      <c r="DO83" s="8"/>
      <c r="DP83" s="8"/>
      <c r="DQ83" s="8"/>
      <c r="DS83" s="8"/>
      <c r="DT83" s="8"/>
      <c r="DU83" s="8"/>
      <c r="DV83" s="8"/>
      <c r="DW83" s="8"/>
      <c r="DX83" s="8"/>
      <c r="DZ83" s="8"/>
      <c r="EA83" s="8"/>
      <c r="EC83" s="8"/>
      <c r="ED83" s="8"/>
      <c r="EE83" s="8"/>
      <c r="EF83" s="8"/>
      <c r="EG83" s="8"/>
      <c r="EH83" s="8"/>
      <c r="EI83" s="8"/>
      <c r="EJ83" s="8"/>
      <c r="EK83" s="8"/>
      <c r="EL83" s="8"/>
      <c r="EM83" s="8"/>
      <c r="EN83" s="8"/>
      <c r="EO83" s="8"/>
      <c r="EP83" s="8"/>
      <c r="EQ83" s="8"/>
      <c r="ER83" s="8"/>
      <c r="ES83" s="24"/>
      <c r="ET83" s="24"/>
      <c r="EU83" s="24"/>
      <c r="EV83" s="8"/>
    </row>
    <row r="84" spans="1:153" x14ac:dyDescent="0.55000000000000004">
      <c r="A84" s="224" t="s">
        <v>579</v>
      </c>
      <c r="B84" s="225"/>
      <c r="C84" s="225"/>
      <c r="D84" s="225"/>
      <c r="E84" s="225"/>
      <c r="F84" s="5"/>
      <c r="G84" s="46" t="s">
        <v>581</v>
      </c>
      <c r="H84" s="8"/>
      <c r="I84" s="8"/>
      <c r="J84" s="8"/>
      <c r="K84" s="8"/>
      <c r="L84" s="8"/>
      <c r="M84" s="8"/>
      <c r="N84" s="8"/>
      <c r="O84" s="8"/>
      <c r="P84" s="8"/>
      <c r="S84" s="13"/>
      <c r="T84" s="13"/>
      <c r="U84" s="8"/>
      <c r="V84" s="8"/>
      <c r="W84" s="8"/>
      <c r="X84" s="8"/>
      <c r="Y84" s="8"/>
      <c r="Z84" s="8"/>
      <c r="AA84" s="8"/>
      <c r="AB84" s="8"/>
      <c r="AC84" s="8"/>
      <c r="AD84" s="8"/>
      <c r="AE84" s="8"/>
      <c r="AF84" s="8"/>
      <c r="AG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CT84" s="8"/>
      <c r="CU84" s="8"/>
      <c r="CV84" s="8"/>
      <c r="CW84" s="8"/>
      <c r="CX84" s="8"/>
      <c r="CY84" s="8"/>
      <c r="CZ84" s="8"/>
      <c r="DA84" s="8"/>
      <c r="DB84" s="8"/>
      <c r="DC84" s="8"/>
      <c r="DD84" s="8"/>
      <c r="DG84" s="8"/>
      <c r="DH84" s="8"/>
      <c r="DI84" s="8"/>
      <c r="DJ84" s="8"/>
      <c r="DK84" s="8"/>
      <c r="DL84" s="8"/>
      <c r="DM84" s="8"/>
      <c r="DN84" s="8"/>
      <c r="DO84" s="8"/>
      <c r="DP84" s="8"/>
      <c r="DQ84" s="8"/>
      <c r="DS84" s="8"/>
      <c r="DT84" s="8"/>
      <c r="DU84" s="8"/>
      <c r="DV84" s="8"/>
      <c r="DW84" s="8"/>
      <c r="DX84" s="8"/>
      <c r="DZ84" s="8"/>
      <c r="EA84" s="8"/>
      <c r="EC84" s="8"/>
      <c r="ED84" s="8"/>
      <c r="EE84" s="8"/>
      <c r="EF84" s="8"/>
      <c r="EG84" s="8"/>
      <c r="EH84" s="8"/>
      <c r="EI84" s="8"/>
      <c r="EJ84" s="8"/>
      <c r="EK84" s="8"/>
      <c r="EL84" s="8"/>
      <c r="EM84" s="8"/>
      <c r="EN84" s="8"/>
      <c r="EO84" s="8"/>
      <c r="EP84" s="8"/>
      <c r="EQ84" s="8"/>
      <c r="ER84" s="8"/>
      <c r="ES84" s="24"/>
      <c r="ET84" s="24"/>
      <c r="EU84" s="24"/>
      <c r="EV84" s="8"/>
    </row>
    <row r="85" spans="1:153" x14ac:dyDescent="0.55000000000000004">
      <c r="A85" s="224" t="s">
        <v>626</v>
      </c>
      <c r="B85" s="225"/>
      <c r="C85" s="225"/>
      <c r="D85" s="225"/>
      <c r="E85" s="225"/>
      <c r="F85" s="5"/>
      <c r="G85" s="178" t="s">
        <v>581</v>
      </c>
      <c r="H85" s="8"/>
      <c r="I85" s="8"/>
      <c r="J85" s="8"/>
      <c r="K85" s="8"/>
      <c r="L85" s="8"/>
      <c r="M85" s="8"/>
      <c r="N85" s="8"/>
      <c r="O85" s="8"/>
      <c r="P85" s="8"/>
      <c r="S85" s="13"/>
      <c r="T85" s="13"/>
      <c r="U85" s="8"/>
      <c r="V85" s="8"/>
      <c r="W85" s="8"/>
      <c r="X85" s="8"/>
      <c r="Y85" s="8"/>
      <c r="Z85" s="8"/>
      <c r="AA85" s="8"/>
      <c r="AB85" s="8"/>
      <c r="AC85" s="8"/>
      <c r="AD85" s="8"/>
      <c r="AE85" s="8"/>
      <c r="AF85" s="8"/>
      <c r="AG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CT85" s="8"/>
      <c r="CU85" s="8"/>
      <c r="CV85" s="8"/>
      <c r="CW85" s="8"/>
      <c r="CX85" s="8"/>
      <c r="CY85" s="8"/>
      <c r="CZ85" s="8"/>
      <c r="DA85" s="8"/>
      <c r="DB85" s="8"/>
      <c r="DC85" s="8"/>
      <c r="DD85" s="8"/>
      <c r="DG85" s="8"/>
      <c r="DH85" s="8"/>
      <c r="DI85" s="8"/>
      <c r="DJ85" s="8"/>
      <c r="DK85" s="8"/>
      <c r="DL85" s="8"/>
      <c r="DM85" s="8"/>
      <c r="DN85" s="8"/>
      <c r="DO85" s="8"/>
      <c r="DP85" s="8"/>
      <c r="DQ85" s="8"/>
      <c r="DS85" s="8"/>
      <c r="DT85" s="8"/>
      <c r="DU85" s="8"/>
      <c r="DV85" s="8"/>
      <c r="DW85" s="8"/>
      <c r="DX85" s="8"/>
      <c r="DZ85" s="8"/>
      <c r="EA85" s="8"/>
      <c r="EC85" s="8"/>
      <c r="ED85" s="8"/>
      <c r="EE85" s="8"/>
      <c r="EF85" s="8"/>
      <c r="EG85" s="8"/>
      <c r="EH85" s="8"/>
      <c r="EI85" s="8"/>
      <c r="EJ85" s="8"/>
      <c r="EK85" s="8"/>
      <c r="EL85" s="8"/>
      <c r="EM85" s="8"/>
      <c r="EN85" s="8"/>
      <c r="EO85" s="8"/>
      <c r="EP85" s="8"/>
      <c r="EQ85" s="8"/>
      <c r="ER85" s="8"/>
      <c r="ES85" s="24"/>
      <c r="ET85" s="24"/>
      <c r="EU85" s="24"/>
      <c r="EV85" s="8"/>
    </row>
    <row r="86" spans="1:153" x14ac:dyDescent="0.55000000000000004">
      <c r="A86" s="224" t="s">
        <v>816</v>
      </c>
      <c r="B86" s="225"/>
      <c r="C86" s="225"/>
      <c r="D86" s="225"/>
      <c r="E86" s="234"/>
      <c r="F86" s="5"/>
      <c r="G86" s="214">
        <v>2025</v>
      </c>
      <c r="H86" s="8"/>
      <c r="I86" s="8"/>
      <c r="J86" s="8"/>
      <c r="K86" s="8"/>
      <c r="L86" s="8"/>
      <c r="M86" s="8"/>
      <c r="N86" s="8"/>
      <c r="O86" s="8"/>
      <c r="P86" s="8"/>
      <c r="S86" s="13"/>
      <c r="T86" s="13"/>
      <c r="U86" s="8"/>
      <c r="V86" s="8"/>
      <c r="W86" s="8"/>
      <c r="X86" s="8"/>
      <c r="Y86" s="8"/>
      <c r="Z86" s="8"/>
      <c r="AA86" s="8"/>
      <c r="AB86" s="8"/>
      <c r="AC86" s="8"/>
      <c r="AD86" s="8"/>
      <c r="AE86" s="8"/>
      <c r="AF86" s="8"/>
      <c r="AG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CT86" s="8"/>
      <c r="CU86" s="8"/>
      <c r="CV86" s="8"/>
      <c r="CW86" s="8"/>
      <c r="CX86" s="8"/>
      <c r="CY86" s="8"/>
      <c r="CZ86" s="8"/>
      <c r="DA86" s="8"/>
      <c r="DB86" s="8"/>
      <c r="DC86" s="8"/>
      <c r="DD86" s="8"/>
      <c r="DG86" s="8"/>
      <c r="DH86" s="8"/>
      <c r="DI86" s="8"/>
      <c r="DJ86" s="8"/>
      <c r="DK86" s="8"/>
      <c r="DL86" s="8"/>
      <c r="DM86" s="8"/>
      <c r="DN86" s="8"/>
      <c r="DO86" s="8"/>
      <c r="DP86" s="8"/>
      <c r="DQ86" s="8"/>
      <c r="DS86" s="8"/>
      <c r="DT86" s="8"/>
      <c r="DU86" s="8"/>
      <c r="DV86" s="8"/>
      <c r="DW86" s="8"/>
      <c r="DX86" s="8"/>
      <c r="DZ86" s="8"/>
      <c r="EA86" s="8"/>
      <c r="EC86" s="8"/>
      <c r="ED86" s="8"/>
      <c r="EE86" s="8"/>
      <c r="EF86" s="8"/>
      <c r="EG86" s="8"/>
      <c r="EH86" s="8"/>
      <c r="EI86" s="8"/>
      <c r="EJ86" s="8"/>
      <c r="EK86" s="8"/>
      <c r="EL86" s="8"/>
      <c r="EM86" s="8"/>
      <c r="EN86" s="8"/>
      <c r="EO86" s="8"/>
      <c r="EP86" s="8"/>
      <c r="EQ86" s="8"/>
      <c r="ER86" s="8"/>
      <c r="ES86" s="24"/>
      <c r="ET86" s="24"/>
      <c r="EU86" s="24"/>
      <c r="EV86" s="8"/>
    </row>
    <row r="87" spans="1:153" x14ac:dyDescent="0.55000000000000004">
      <c r="A87" s="28"/>
      <c r="B87" s="28"/>
      <c r="C87" s="28"/>
      <c r="D87" s="28"/>
      <c r="E87" s="8"/>
      <c r="F87" s="8"/>
      <c r="G87" s="8"/>
      <c r="H87" s="8"/>
      <c r="I87" s="8"/>
      <c r="J87" s="8"/>
      <c r="K87" s="8"/>
      <c r="L87" s="8"/>
      <c r="M87" s="8"/>
      <c r="N87" s="8"/>
      <c r="O87" s="8"/>
      <c r="P87" s="8"/>
      <c r="S87" s="13"/>
      <c r="T87" s="13"/>
      <c r="U87" s="8"/>
      <c r="V87" s="8"/>
      <c r="W87" s="8"/>
      <c r="X87" s="8"/>
      <c r="Y87" s="8"/>
      <c r="Z87" s="8"/>
      <c r="AA87" s="8"/>
      <c r="AB87" s="8"/>
      <c r="AC87" s="8"/>
      <c r="AD87" s="8"/>
      <c r="AE87" s="8"/>
      <c r="AF87" s="8"/>
      <c r="AG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CT87" s="8"/>
      <c r="CU87" s="8"/>
      <c r="CV87" s="8"/>
      <c r="CW87" s="8"/>
      <c r="CX87" s="8"/>
      <c r="CY87" s="8"/>
      <c r="CZ87" s="8"/>
      <c r="DA87" s="8"/>
      <c r="DB87" s="8"/>
      <c r="DC87" s="8"/>
      <c r="DD87" s="8"/>
      <c r="DG87" s="8"/>
      <c r="DH87" s="8"/>
      <c r="DI87" s="8"/>
      <c r="DJ87" s="8"/>
      <c r="DK87" s="8"/>
      <c r="DL87" s="8"/>
      <c r="DM87" s="8"/>
      <c r="DN87" s="8"/>
      <c r="DO87" s="8"/>
      <c r="DP87" s="8"/>
      <c r="DQ87" s="8"/>
      <c r="DS87" s="8"/>
      <c r="DT87" s="8"/>
      <c r="DU87" s="8"/>
      <c r="DV87" s="8"/>
      <c r="DW87" s="8"/>
      <c r="DX87" s="8"/>
      <c r="DZ87" s="8"/>
      <c r="EA87" s="8"/>
      <c r="EC87" s="8"/>
      <c r="ED87" s="8"/>
      <c r="EE87" s="8"/>
      <c r="EF87" s="8"/>
      <c r="EG87" s="8"/>
      <c r="EH87" s="8"/>
      <c r="EI87" s="8"/>
      <c r="EJ87" s="8"/>
      <c r="EK87" s="8"/>
      <c r="EL87" s="8"/>
      <c r="EM87" s="8"/>
      <c r="EN87" s="8"/>
      <c r="EO87" s="8"/>
      <c r="EP87" s="8"/>
      <c r="EQ87" s="8"/>
      <c r="ER87" s="8"/>
      <c r="ES87" s="24"/>
      <c r="ET87" s="24"/>
      <c r="EU87" s="24"/>
      <c r="EV87" s="8"/>
    </row>
    <row r="88" spans="1:153" x14ac:dyDescent="0.55000000000000004">
      <c r="A88" s="216" t="s">
        <v>141</v>
      </c>
      <c r="B88" s="217"/>
      <c r="C88" s="217"/>
      <c r="D88" s="217"/>
      <c r="E88" s="217"/>
      <c r="F88" s="217"/>
      <c r="G88" s="217"/>
      <c r="H88" s="28"/>
      <c r="I88" s="28"/>
      <c r="J88" s="12"/>
      <c r="K88" s="12"/>
      <c r="L88" s="12"/>
      <c r="M88" s="12"/>
      <c r="N88" s="12"/>
      <c r="O88" s="12"/>
      <c r="AE88" s="19"/>
      <c r="AF88" s="19"/>
      <c r="AG88" s="19"/>
      <c r="AH88" s="163"/>
      <c r="AI88" s="163"/>
      <c r="AJ88" s="163"/>
      <c r="AK88" s="163"/>
      <c r="AL88" s="163"/>
      <c r="AM88" s="19"/>
      <c r="AN88" s="19"/>
      <c r="AO88" s="19"/>
      <c r="AP88" s="19"/>
      <c r="AQ88" s="28"/>
      <c r="AR88" s="28"/>
      <c r="AS88" s="28"/>
      <c r="AT88" s="28"/>
      <c r="AU88" s="28"/>
      <c r="AV88" s="28"/>
      <c r="AW88" s="28"/>
      <c r="AX88" s="28"/>
      <c r="AY88" s="28"/>
      <c r="AZ88" s="28"/>
      <c r="BA88" s="28"/>
      <c r="BB88" s="28"/>
      <c r="BC88" s="28"/>
      <c r="BD88" s="28"/>
      <c r="BE88" s="28"/>
      <c r="BF88" s="28"/>
      <c r="BG88" s="28"/>
      <c r="BH88" s="28"/>
      <c r="BI88" s="28"/>
      <c r="BJ88" s="28"/>
      <c r="BK88" s="28"/>
      <c r="BL88" s="28"/>
      <c r="BM88" s="28"/>
      <c r="BN88" s="28"/>
      <c r="BO88" s="28"/>
      <c r="BP88" s="28"/>
      <c r="BQ88" s="28"/>
      <c r="BR88" s="28"/>
      <c r="BS88" s="28"/>
      <c r="BT88" s="28"/>
      <c r="BU88" s="28"/>
      <c r="BV88" s="80"/>
      <c r="BW88" s="80"/>
      <c r="BX88" s="80"/>
      <c r="BY88" s="80"/>
      <c r="BZ88" s="80"/>
      <c r="CA88" s="80"/>
      <c r="CB88" s="80"/>
      <c r="CC88" s="80"/>
      <c r="CD88" s="80"/>
      <c r="CE88" s="80"/>
      <c r="CF88" s="80"/>
      <c r="CG88" s="80"/>
      <c r="CH88" s="80"/>
      <c r="CI88" s="80"/>
      <c r="CJ88" s="80"/>
      <c r="CK88" s="80"/>
      <c r="CL88" s="80"/>
      <c r="CM88" s="80"/>
      <c r="CN88" s="80"/>
      <c r="CO88" s="80"/>
      <c r="CP88" s="80"/>
      <c r="CQ88" s="80"/>
      <c r="CR88" s="80"/>
      <c r="CS88" s="80"/>
      <c r="CT88" s="28"/>
      <c r="CU88" s="28"/>
      <c r="CV88" s="28"/>
      <c r="CW88" s="28"/>
      <c r="CX88" s="28"/>
      <c r="CY88" s="28"/>
      <c r="CZ88" s="28"/>
      <c r="DA88" s="28"/>
      <c r="DB88" s="28"/>
      <c r="DC88" s="28"/>
      <c r="DD88" s="28"/>
      <c r="DE88" s="78"/>
      <c r="DF88" s="78"/>
      <c r="DG88" s="28"/>
      <c r="DH88" s="28"/>
      <c r="DI88" s="28"/>
      <c r="DJ88" s="28"/>
      <c r="DK88" s="28"/>
      <c r="DL88" s="28"/>
      <c r="DM88" s="28"/>
      <c r="DN88" s="28"/>
      <c r="DO88" s="28"/>
      <c r="DP88" s="28"/>
      <c r="DQ88" s="28"/>
      <c r="DR88" s="78"/>
      <c r="DS88" s="28"/>
      <c r="DT88" s="28"/>
      <c r="DU88" s="28"/>
      <c r="DV88" s="28"/>
      <c r="DW88" s="28"/>
      <c r="DX88" s="28"/>
      <c r="DY88" s="209"/>
      <c r="DZ88" s="28"/>
      <c r="EA88" s="12"/>
      <c r="EB88" s="159"/>
      <c r="EC88" s="12"/>
      <c r="ED88" s="12"/>
      <c r="EE88" s="12"/>
      <c r="EF88" s="12"/>
      <c r="EG88" s="12"/>
      <c r="EH88" s="12"/>
      <c r="EI88" s="12"/>
      <c r="EJ88" s="12"/>
      <c r="EK88" s="12"/>
      <c r="EL88" s="12"/>
      <c r="EM88" s="12"/>
      <c r="EN88" s="12"/>
      <c r="EO88" s="12"/>
      <c r="EP88" s="12"/>
      <c r="EQ88" s="12"/>
      <c r="ER88" s="12"/>
      <c r="ES88" s="12"/>
      <c r="ET88" s="12"/>
      <c r="EU88" s="12"/>
      <c r="EV88" s="12"/>
      <c r="EW88" s="140"/>
    </row>
    <row r="89" spans="1:153" ht="14.4" customHeight="1" x14ac:dyDescent="0.55000000000000004">
      <c r="A89" s="244" t="s">
        <v>30</v>
      </c>
      <c r="B89" s="245"/>
      <c r="C89" s="245"/>
      <c r="D89" s="245"/>
      <c r="E89" s="246"/>
      <c r="F89" s="179"/>
      <c r="G89" s="181">
        <v>7.3999999999999996E-2</v>
      </c>
      <c r="H89" s="184"/>
      <c r="J89" s="12"/>
      <c r="K89" s="12"/>
      <c r="L89" s="12"/>
      <c r="M89" s="12"/>
      <c r="N89" s="21"/>
      <c r="O89" s="21"/>
      <c r="AE89" s="216"/>
      <c r="AF89" s="217"/>
      <c r="AG89" s="217"/>
      <c r="AH89" s="217"/>
      <c r="AI89" s="217"/>
      <c r="AJ89" s="217"/>
      <c r="AK89" s="217"/>
      <c r="AL89" s="217"/>
      <c r="AM89" s="217"/>
      <c r="AN89" s="217"/>
      <c r="AO89" s="217"/>
      <c r="AP89" s="218"/>
      <c r="AQ89" s="12"/>
      <c r="AR89" s="12"/>
      <c r="AS89" s="12"/>
      <c r="AT89" s="12"/>
      <c r="AU89" s="12"/>
      <c r="AV89" s="12"/>
      <c r="AW89" s="28"/>
      <c r="AX89" s="28"/>
      <c r="AY89" s="28"/>
      <c r="AZ89" s="28"/>
      <c r="BA89" s="28"/>
      <c r="BB89" s="28"/>
      <c r="BC89" s="28"/>
      <c r="BD89" s="28"/>
      <c r="BE89" s="28"/>
      <c r="BF89" s="28"/>
      <c r="BG89" s="28"/>
      <c r="BH89" s="28"/>
      <c r="BI89" s="28"/>
      <c r="BJ89" s="28"/>
      <c r="BK89" s="28"/>
      <c r="BL89" s="28"/>
      <c r="BM89" s="28"/>
      <c r="BN89" s="28"/>
      <c r="BO89" s="28"/>
      <c r="BP89" s="28"/>
      <c r="BQ89" s="28"/>
      <c r="BR89" s="28"/>
      <c r="BS89" s="28"/>
      <c r="BT89" s="28"/>
      <c r="BU89" s="28"/>
      <c r="BV89" s="80"/>
      <c r="BW89" s="80"/>
      <c r="BX89" s="80"/>
      <c r="BY89" s="80"/>
      <c r="BZ89" s="80"/>
      <c r="CA89" s="80"/>
      <c r="CB89" s="80"/>
      <c r="CC89" s="80"/>
      <c r="CD89" s="80"/>
      <c r="CE89" s="80"/>
      <c r="CF89" s="80"/>
      <c r="CG89" s="80"/>
      <c r="CH89" s="80"/>
      <c r="CI89" s="80"/>
      <c r="CJ89" s="80"/>
      <c r="CK89" s="80"/>
      <c r="CL89" s="80"/>
      <c r="CM89" s="80"/>
      <c r="CN89" s="80"/>
      <c r="CO89" s="80"/>
      <c r="CP89" s="80"/>
      <c r="CQ89" s="80"/>
      <c r="CR89" s="80"/>
      <c r="CS89" s="80"/>
      <c r="CT89" s="28"/>
      <c r="CU89" s="28"/>
      <c r="CV89" s="28"/>
      <c r="CW89" s="28"/>
      <c r="CX89" s="28"/>
      <c r="CY89" s="28"/>
      <c r="CZ89" s="28"/>
      <c r="DA89" s="28"/>
      <c r="DB89" s="28"/>
      <c r="DC89" s="28"/>
      <c r="DD89" s="28"/>
      <c r="DE89" s="78"/>
      <c r="DF89" s="78"/>
      <c r="DG89" s="28"/>
      <c r="DH89" s="28"/>
      <c r="DI89" s="28"/>
      <c r="DJ89" s="28"/>
      <c r="DK89" s="28"/>
      <c r="DL89" s="28"/>
      <c r="DM89" s="28"/>
      <c r="DN89" s="28"/>
      <c r="DO89" s="28"/>
      <c r="DP89" s="28"/>
      <c r="DQ89" s="28"/>
      <c r="DR89" s="78"/>
      <c r="DS89" s="28"/>
      <c r="DT89" s="28"/>
      <c r="DU89" s="28"/>
      <c r="DV89" s="28"/>
      <c r="DW89" s="28"/>
      <c r="DX89" s="28"/>
      <c r="DY89" s="209"/>
      <c r="DZ89" s="28"/>
      <c r="EA89" s="22"/>
      <c r="EB89" s="160"/>
      <c r="EC89" s="22"/>
      <c r="ED89" s="22"/>
      <c r="EE89" s="22"/>
      <c r="EF89" s="22"/>
      <c r="EG89" s="22"/>
      <c r="EH89" s="22"/>
      <c r="EI89" s="22"/>
      <c r="EJ89" s="22"/>
      <c r="EK89" s="22"/>
      <c r="EL89" s="22"/>
      <c r="EM89" s="22"/>
      <c r="EN89" s="22"/>
      <c r="EO89" s="22"/>
      <c r="EP89" s="22"/>
      <c r="EQ89" s="22"/>
      <c r="ER89" s="22"/>
      <c r="ES89" s="22"/>
      <c r="ET89" s="22"/>
      <c r="EU89" s="22"/>
      <c r="EV89" s="22"/>
      <c r="EW89" s="141"/>
    </row>
    <row r="90" spans="1:153" ht="15.6" customHeight="1" x14ac:dyDescent="0.55000000000000004">
      <c r="A90" s="224" t="s">
        <v>75</v>
      </c>
      <c r="B90" s="225"/>
      <c r="C90" s="225"/>
      <c r="D90" s="225"/>
      <c r="E90" s="234"/>
      <c r="F90" s="11"/>
      <c r="G90" s="181">
        <v>3.5000000000000003E-2</v>
      </c>
      <c r="H90" s="40"/>
      <c r="J90" s="12"/>
      <c r="K90" s="12"/>
      <c r="L90" s="12"/>
      <c r="M90" s="12"/>
      <c r="N90" s="21"/>
      <c r="O90" s="21"/>
      <c r="AD90" s="171"/>
      <c r="AF90" s="9"/>
      <c r="AG90" s="136"/>
      <c r="AM90" s="8"/>
      <c r="AN90" s="8"/>
      <c r="AO90" s="8"/>
      <c r="AP90" s="8"/>
      <c r="AQ90" s="8"/>
      <c r="AR90" s="8"/>
      <c r="AS90" s="8"/>
      <c r="AT90" s="69"/>
      <c r="AU90" s="69"/>
      <c r="AV90" s="69"/>
      <c r="EA90" s="22"/>
      <c r="EB90" s="160"/>
      <c r="EC90" s="22"/>
      <c r="ED90" s="22"/>
      <c r="EE90" s="22"/>
      <c r="EF90" s="22"/>
      <c r="EG90" s="22"/>
      <c r="EH90" s="22"/>
      <c r="EI90" s="22"/>
      <c r="EJ90" s="22"/>
      <c r="EK90" s="22"/>
      <c r="EL90" s="22"/>
      <c r="EM90" s="22"/>
      <c r="EN90" s="22"/>
      <c r="EO90" s="22"/>
      <c r="EP90" s="22"/>
      <c r="EQ90" s="22"/>
      <c r="ER90" s="22"/>
      <c r="ES90" s="22"/>
      <c r="ET90" s="22"/>
      <c r="EU90" s="22"/>
      <c r="EV90" s="22"/>
      <c r="EW90" s="141"/>
    </row>
    <row r="91" spans="1:153" ht="15.6" customHeight="1" x14ac:dyDescent="0.55000000000000004">
      <c r="A91" s="224" t="s">
        <v>560</v>
      </c>
      <c r="B91" s="225"/>
      <c r="C91" s="225"/>
      <c r="D91" s="225"/>
      <c r="E91" s="234"/>
      <c r="F91" s="11"/>
      <c r="G91" s="139">
        <v>0.9</v>
      </c>
      <c r="H91" s="40"/>
      <c r="J91" s="12"/>
      <c r="K91" s="12"/>
      <c r="L91" s="12"/>
      <c r="M91" s="12"/>
      <c r="N91" s="21"/>
      <c r="O91" s="21"/>
      <c r="AF91" s="5"/>
      <c r="AG91" s="11"/>
      <c r="AH91" s="166"/>
      <c r="AI91" s="166"/>
      <c r="AJ91" s="166"/>
      <c r="AK91" s="166"/>
      <c r="AL91" s="166"/>
      <c r="AM91" s="11"/>
      <c r="AN91" s="11"/>
      <c r="AO91" s="11"/>
      <c r="AP91" s="139"/>
      <c r="AQ91" s="21"/>
      <c r="AR91" s="21"/>
      <c r="AS91" s="21"/>
      <c r="AT91" s="21"/>
      <c r="AU91" s="21"/>
      <c r="AV91" s="21"/>
      <c r="EA91" s="22"/>
      <c r="EB91" s="160"/>
      <c r="EC91" s="22"/>
      <c r="ED91" s="22"/>
      <c r="EE91" s="22"/>
      <c r="EF91" s="22"/>
      <c r="EG91" s="22"/>
      <c r="EH91" s="22"/>
      <c r="EI91" s="22"/>
      <c r="EJ91" s="22"/>
      <c r="EK91" s="22"/>
      <c r="EL91" s="22"/>
      <c r="EM91" s="22"/>
      <c r="EN91" s="22"/>
      <c r="EO91" s="22"/>
      <c r="EP91" s="22"/>
      <c r="EQ91" s="22"/>
      <c r="ER91" s="22"/>
      <c r="ES91" s="22"/>
      <c r="ET91" s="22"/>
      <c r="EU91" s="22"/>
      <c r="EV91" s="22"/>
      <c r="EW91" s="141"/>
    </row>
    <row r="92" spans="1:153" x14ac:dyDescent="0.55000000000000004">
      <c r="A92" s="224" t="s">
        <v>4</v>
      </c>
      <c r="B92" s="225"/>
      <c r="C92" s="225"/>
      <c r="D92" s="225"/>
      <c r="E92" s="234"/>
      <c r="F92" s="11"/>
      <c r="G92" s="181">
        <v>0.02</v>
      </c>
      <c r="H92" s="40"/>
      <c r="J92" s="12"/>
      <c r="K92" s="12"/>
      <c r="L92" s="12"/>
      <c r="M92" s="12"/>
      <c r="N92" s="21"/>
      <c r="O92" s="21"/>
      <c r="AF92" s="9"/>
      <c r="AG92" s="136"/>
      <c r="AH92" s="166"/>
      <c r="AI92" s="166"/>
      <c r="AJ92" s="166"/>
      <c r="AK92" s="166"/>
      <c r="AL92" s="166"/>
      <c r="AM92" s="138"/>
      <c r="AN92" s="136"/>
      <c r="AO92" s="136"/>
      <c r="AP92" s="137"/>
      <c r="AQ92" s="69"/>
      <c r="AR92" s="69"/>
      <c r="AS92" s="69"/>
      <c r="AT92" s="69"/>
      <c r="AU92" s="69"/>
      <c r="AV92" s="69"/>
      <c r="EA92" s="21"/>
      <c r="EB92" s="161"/>
      <c r="EC92" s="21"/>
      <c r="ED92" s="21"/>
      <c r="EE92" s="21"/>
      <c r="EF92" s="21"/>
      <c r="EG92" s="21"/>
      <c r="EH92" s="21"/>
      <c r="EI92" s="21"/>
      <c r="EJ92" s="21"/>
      <c r="EK92" s="21"/>
      <c r="EL92" s="21"/>
      <c r="EM92" s="21"/>
      <c r="EN92" s="21"/>
      <c r="EO92" s="21"/>
      <c r="EP92" s="21"/>
      <c r="EQ92" s="21"/>
      <c r="ER92" s="21"/>
      <c r="ES92" s="21"/>
      <c r="ET92" s="21"/>
      <c r="EU92" s="21"/>
      <c r="EV92" s="21"/>
      <c r="EW92" s="142"/>
    </row>
    <row r="93" spans="1:153" x14ac:dyDescent="0.55000000000000004">
      <c r="A93" s="224" t="s">
        <v>599</v>
      </c>
      <c r="B93" s="225"/>
      <c r="C93" s="225"/>
      <c r="D93" s="225"/>
      <c r="E93" s="234"/>
      <c r="F93" s="11"/>
      <c r="G93" s="172" t="s">
        <v>757</v>
      </c>
      <c r="H93" s="40"/>
      <c r="J93" s="12"/>
      <c r="K93" s="12"/>
      <c r="L93" s="12"/>
      <c r="M93" s="12"/>
      <c r="N93" s="243"/>
      <c r="O93" s="243"/>
      <c r="P93" s="243"/>
      <c r="Q93" s="243"/>
      <c r="R93" s="243"/>
      <c r="S93" s="243"/>
      <c r="T93" s="243"/>
      <c r="AF93" s="9"/>
      <c r="AG93" s="136"/>
      <c r="AH93" s="166"/>
      <c r="AI93" s="166"/>
      <c r="AJ93" s="166"/>
      <c r="AK93" s="166"/>
      <c r="AL93" s="166"/>
      <c r="AM93" s="136"/>
      <c r="AN93" s="136"/>
      <c r="AO93" s="136"/>
      <c r="AP93" s="137"/>
      <c r="AQ93" s="21"/>
      <c r="AR93" s="21"/>
      <c r="AS93" s="21"/>
      <c r="AT93" s="21"/>
      <c r="AU93" s="21"/>
      <c r="AV93" s="21"/>
    </row>
    <row r="94" spans="1:153" x14ac:dyDescent="0.55000000000000004">
      <c r="A94" s="224" t="s">
        <v>215</v>
      </c>
      <c r="B94" s="225"/>
      <c r="C94" s="225"/>
      <c r="D94" s="225"/>
      <c r="E94" s="234"/>
      <c r="F94" s="11"/>
      <c r="G94" s="182">
        <v>1</v>
      </c>
      <c r="H94" s="40"/>
      <c r="J94" s="12"/>
      <c r="K94" s="12"/>
      <c r="L94" s="12"/>
      <c r="M94" s="12"/>
      <c r="N94" s="243"/>
      <c r="O94" s="243"/>
      <c r="P94" s="243"/>
      <c r="Q94" s="243"/>
      <c r="R94" s="243"/>
      <c r="S94" s="243"/>
      <c r="T94" s="243"/>
      <c r="AF94" s="73"/>
      <c r="AG94" s="74"/>
      <c r="AH94" s="167"/>
      <c r="AI94" s="167"/>
      <c r="AJ94" s="167"/>
      <c r="AK94" s="167"/>
      <c r="AL94" s="167"/>
      <c r="AM94" s="74"/>
      <c r="AN94" s="74"/>
      <c r="AO94" s="74"/>
      <c r="AP94" s="75"/>
      <c r="AQ94" s="69"/>
      <c r="AR94" s="69"/>
      <c r="AS94" s="69"/>
      <c r="AT94" s="69"/>
      <c r="AU94" s="69"/>
      <c r="AV94" s="69"/>
    </row>
    <row r="95" spans="1:153" x14ac:dyDescent="0.55000000000000004">
      <c r="A95" s="224" t="s">
        <v>20</v>
      </c>
      <c r="B95" s="225"/>
      <c r="C95" s="225"/>
      <c r="D95" s="225"/>
      <c r="E95" s="234"/>
      <c r="F95" s="11"/>
      <c r="G95" s="139">
        <v>85</v>
      </c>
      <c r="H95" s="40"/>
      <c r="J95" s="12"/>
      <c r="K95" s="12"/>
      <c r="L95" s="12"/>
      <c r="M95" s="12"/>
      <c r="N95" s="21"/>
      <c r="O95" s="169"/>
      <c r="P95" s="169"/>
      <c r="Q95" s="169"/>
      <c r="R95" s="169"/>
      <c r="S95" s="169"/>
      <c r="T95" s="169"/>
      <c r="AD95" s="171"/>
      <c r="AF95" s="9"/>
      <c r="AG95" s="136"/>
      <c r="AH95" s="166"/>
      <c r="AI95" s="166"/>
      <c r="AJ95" s="166"/>
      <c r="AK95" s="166"/>
      <c r="AL95" s="166"/>
      <c r="AM95" s="136"/>
      <c r="AN95" s="136"/>
      <c r="AO95" s="136"/>
      <c r="AP95" s="137"/>
      <c r="AQ95" s="21"/>
      <c r="AR95" s="21"/>
      <c r="AS95" s="21"/>
      <c r="AT95" s="21"/>
      <c r="AU95" s="21"/>
      <c r="AV95" s="21"/>
    </row>
    <row r="96" spans="1:153" x14ac:dyDescent="0.55000000000000004">
      <c r="A96" s="224" t="s">
        <v>21</v>
      </c>
      <c r="B96" s="225"/>
      <c r="C96" s="225"/>
      <c r="D96" s="225"/>
      <c r="E96" s="234"/>
      <c r="F96" s="11"/>
      <c r="G96" s="139">
        <v>95</v>
      </c>
      <c r="H96" s="40"/>
      <c r="J96" s="12"/>
      <c r="K96" s="12"/>
      <c r="L96" s="12"/>
      <c r="M96" s="12"/>
      <c r="N96" s="169"/>
      <c r="O96" s="169"/>
      <c r="P96" s="169"/>
      <c r="Q96" s="169"/>
      <c r="R96" s="169"/>
      <c r="S96" s="169"/>
      <c r="T96" s="169"/>
      <c r="AF96" s="5"/>
      <c r="AG96" s="11"/>
      <c r="AH96" s="166"/>
      <c r="AI96" s="166"/>
      <c r="AJ96" s="166"/>
      <c r="AK96" s="166"/>
      <c r="AL96" s="166"/>
      <c r="AM96" s="11"/>
      <c r="AN96" s="11"/>
      <c r="AO96" s="11"/>
      <c r="AP96" s="139"/>
      <c r="AQ96" s="21"/>
      <c r="AR96" s="21"/>
      <c r="AS96" s="21"/>
      <c r="AT96" s="21"/>
      <c r="AU96" s="21"/>
      <c r="AV96" s="21"/>
    </row>
    <row r="97" spans="1:48" x14ac:dyDescent="0.55000000000000004">
      <c r="A97" s="224" t="s">
        <v>212</v>
      </c>
      <c r="B97" s="225"/>
      <c r="C97" s="225"/>
      <c r="D97" s="225"/>
      <c r="E97" s="234"/>
      <c r="F97" s="11"/>
      <c r="G97" s="183">
        <v>1</v>
      </c>
      <c r="H97" s="40"/>
      <c r="J97" s="12"/>
      <c r="K97" s="12"/>
      <c r="L97" s="12"/>
      <c r="M97" s="12"/>
      <c r="O97" s="21"/>
      <c r="AF97" s="235"/>
      <c r="AG97" s="236"/>
      <c r="AH97" s="236"/>
      <c r="AI97" s="236"/>
      <c r="AJ97" s="236"/>
      <c r="AK97" s="236"/>
      <c r="AL97" s="236"/>
      <c r="AM97" s="236"/>
      <c r="AN97" s="236"/>
      <c r="AO97" s="236"/>
      <c r="AP97" s="237"/>
      <c r="AQ97" s="21"/>
      <c r="AR97" s="21"/>
      <c r="AS97" s="21"/>
      <c r="AT97" s="21"/>
      <c r="AU97" s="21"/>
      <c r="AV97" s="21"/>
    </row>
    <row r="98" spans="1:48" ht="14.4" customHeight="1" x14ac:dyDescent="0.55000000000000004">
      <c r="A98" s="238" t="s">
        <v>525</v>
      </c>
      <c r="B98" s="239"/>
      <c r="C98" s="239"/>
      <c r="D98" s="239"/>
      <c r="E98" s="240"/>
      <c r="F98" s="180"/>
      <c r="G98" s="139">
        <v>2060</v>
      </c>
      <c r="H98" s="185"/>
      <c r="J98" s="12"/>
      <c r="K98" s="12"/>
      <c r="L98" s="12"/>
      <c r="M98" s="12"/>
      <c r="N98" s="21"/>
      <c r="O98" s="34"/>
      <c r="P98" s="34"/>
      <c r="Q98" s="148"/>
      <c r="R98" s="148"/>
      <c r="S98" s="34"/>
      <c r="T98" s="34"/>
      <c r="AF98" s="5"/>
      <c r="AG98" s="11"/>
      <c r="AH98" s="166"/>
      <c r="AI98" s="166"/>
      <c r="AJ98" s="166"/>
      <c r="AK98" s="166"/>
      <c r="AL98" s="166"/>
      <c r="AM98" s="11"/>
      <c r="AN98" s="11"/>
      <c r="AO98" s="11"/>
      <c r="AP98" s="139"/>
      <c r="AQ98" s="21"/>
      <c r="AR98" s="21"/>
      <c r="AS98" s="21"/>
      <c r="AT98" s="21"/>
      <c r="AU98" s="21"/>
      <c r="AV98" s="21"/>
    </row>
    <row r="99" spans="1:48" ht="14.4" customHeight="1" x14ac:dyDescent="0.55000000000000004">
      <c r="A99" s="224" t="s">
        <v>209</v>
      </c>
      <c r="B99" s="225"/>
      <c r="C99" s="225"/>
      <c r="D99" s="225"/>
      <c r="E99" s="234"/>
      <c r="F99" s="11"/>
      <c r="G99" s="46" t="s">
        <v>86</v>
      </c>
      <c r="H99" s="40"/>
      <c r="J99" s="12"/>
      <c r="K99" s="12"/>
      <c r="L99" s="12"/>
      <c r="M99" s="12"/>
      <c r="AF99" s="241"/>
      <c r="AG99" s="241"/>
      <c r="AH99" s="241"/>
      <c r="AI99" s="241"/>
      <c r="AJ99" s="241"/>
      <c r="AK99" s="241"/>
      <c r="AL99" s="241"/>
      <c r="AM99" s="241"/>
      <c r="AN99" s="241"/>
      <c r="AO99" s="241"/>
      <c r="AP99" s="241"/>
    </row>
    <row r="100" spans="1:48" ht="14.4" customHeight="1" x14ac:dyDescent="0.55000000000000004">
      <c r="A100" s="224" t="s">
        <v>213</v>
      </c>
      <c r="B100" s="225"/>
      <c r="C100" s="225"/>
      <c r="D100" s="225"/>
      <c r="E100" s="234"/>
      <c r="F100" s="11"/>
      <c r="G100" s="46" t="s">
        <v>733</v>
      </c>
      <c r="H100" s="40"/>
      <c r="J100" s="12"/>
      <c r="K100" s="12"/>
      <c r="L100" s="12"/>
      <c r="M100" s="12"/>
      <c r="N100" s="242"/>
      <c r="O100" s="242"/>
      <c r="P100" s="242"/>
      <c r="Q100" s="242"/>
      <c r="R100" s="242"/>
      <c r="S100" s="242"/>
      <c r="T100" s="242"/>
      <c r="U100" s="242"/>
      <c r="AF100" s="235"/>
      <c r="AG100" s="236"/>
      <c r="AH100" s="236"/>
      <c r="AI100" s="236"/>
      <c r="AJ100" s="236"/>
      <c r="AK100" s="236"/>
      <c r="AL100" s="236"/>
      <c r="AM100" s="236"/>
      <c r="AN100" s="236"/>
      <c r="AO100" s="236"/>
      <c r="AP100" s="237"/>
    </row>
    <row r="101" spans="1:48" ht="14.4" customHeight="1" x14ac:dyDescent="0.55000000000000004">
      <c r="A101" s="224" t="s">
        <v>204</v>
      </c>
      <c r="B101" s="225"/>
      <c r="C101" s="225"/>
      <c r="D101" s="225"/>
      <c r="E101" s="234"/>
      <c r="F101" s="11"/>
      <c r="G101" s="46">
        <v>0.35</v>
      </c>
      <c r="H101" s="40"/>
      <c r="J101" s="12"/>
      <c r="K101" s="12"/>
      <c r="L101" s="12"/>
      <c r="M101" s="12"/>
      <c r="O101" s="42"/>
      <c r="P101" s="42"/>
      <c r="Q101" s="149"/>
      <c r="R101" s="149"/>
      <c r="S101" s="42"/>
      <c r="T101" s="42"/>
      <c r="U101" s="42"/>
    </row>
    <row r="102" spans="1:48" ht="14.4" customHeight="1" x14ac:dyDescent="0.55000000000000004">
      <c r="A102" s="224" t="s">
        <v>738</v>
      </c>
      <c r="B102" s="225"/>
      <c r="C102" s="225"/>
      <c r="D102" s="225"/>
      <c r="E102" s="225"/>
      <c r="F102" s="11"/>
      <c r="G102" s="174">
        <v>2035</v>
      </c>
      <c r="H102" s="40"/>
      <c r="J102" s="12"/>
      <c r="K102" s="12"/>
      <c r="L102" s="12"/>
      <c r="M102" s="12"/>
      <c r="O102" s="42"/>
      <c r="P102" s="42"/>
      <c r="Q102" s="149"/>
      <c r="R102" s="149"/>
      <c r="S102" s="42"/>
      <c r="T102" s="42"/>
      <c r="U102" s="42"/>
    </row>
    <row r="103" spans="1:48" ht="14.4" customHeight="1" x14ac:dyDescent="0.55000000000000004">
      <c r="A103" s="224" t="s">
        <v>728</v>
      </c>
      <c r="B103" s="225"/>
      <c r="C103" s="225"/>
      <c r="D103" s="225"/>
      <c r="E103" s="234"/>
      <c r="F103" s="11"/>
      <c r="G103" s="139">
        <v>0</v>
      </c>
      <c r="H103" s="40"/>
      <c r="J103" s="12"/>
      <c r="K103" s="12"/>
      <c r="L103" s="12"/>
      <c r="M103" s="12"/>
      <c r="O103" s="42"/>
      <c r="P103" s="42"/>
      <c r="Q103" s="149"/>
      <c r="R103" s="149"/>
      <c r="S103" s="42"/>
      <c r="T103" s="42"/>
      <c r="U103" s="42"/>
    </row>
    <row r="104" spans="1:48" ht="14.4" customHeight="1" x14ac:dyDescent="0.55000000000000004">
      <c r="A104" s="224" t="s">
        <v>729</v>
      </c>
      <c r="B104" s="225"/>
      <c r="C104" s="225"/>
      <c r="D104" s="225"/>
      <c r="E104" s="234"/>
      <c r="F104" s="11"/>
      <c r="G104" s="46">
        <v>0</v>
      </c>
      <c r="H104" s="40"/>
      <c r="J104" s="12"/>
      <c r="K104" s="12"/>
      <c r="L104" s="12"/>
      <c r="M104" s="12"/>
      <c r="O104" s="42"/>
      <c r="P104" s="42"/>
      <c r="Q104" s="149"/>
      <c r="R104" s="149"/>
      <c r="S104" s="42"/>
      <c r="T104" s="42"/>
      <c r="U104" s="42"/>
    </row>
    <row r="105" spans="1:48" ht="14.4" customHeight="1" x14ac:dyDescent="0.55000000000000004">
      <c r="A105" s="173"/>
      <c r="B105" s="174"/>
      <c r="C105" s="174"/>
      <c r="D105" s="174"/>
      <c r="E105" s="174"/>
      <c r="F105" s="11"/>
      <c r="G105" s="174"/>
      <c r="J105" s="12"/>
      <c r="K105" s="12"/>
      <c r="L105" s="12"/>
      <c r="M105" s="12"/>
      <c r="O105" s="42"/>
      <c r="P105" s="42"/>
      <c r="Q105" s="149"/>
      <c r="R105" s="149"/>
      <c r="S105" s="42"/>
      <c r="T105" s="42"/>
      <c r="U105" s="42"/>
    </row>
    <row r="106" spans="1:48" x14ac:dyDescent="0.55000000000000004">
      <c r="A106" s="216" t="s">
        <v>730</v>
      </c>
      <c r="B106" s="217"/>
      <c r="C106" s="217"/>
      <c r="D106" s="217"/>
      <c r="E106" s="217"/>
      <c r="F106" s="217"/>
      <c r="G106" s="218"/>
      <c r="H106" s="28"/>
      <c r="I106" s="28"/>
      <c r="J106" s="12"/>
      <c r="K106" s="12"/>
      <c r="L106" s="12"/>
      <c r="M106" s="12"/>
      <c r="N106" s="34"/>
      <c r="O106" s="34"/>
      <c r="P106" s="34"/>
      <c r="Q106" s="148"/>
      <c r="R106" s="148"/>
      <c r="S106" s="34"/>
      <c r="T106" s="34"/>
      <c r="U106" s="34"/>
      <c r="AE106" s="227"/>
      <c r="AF106" s="227"/>
      <c r="AG106" s="227"/>
      <c r="AH106" s="227"/>
      <c r="AI106" s="227"/>
      <c r="AJ106" s="227"/>
      <c r="AK106" s="227"/>
      <c r="AL106" s="227"/>
      <c r="AM106" s="227"/>
      <c r="AN106" s="227"/>
      <c r="AO106" s="227"/>
    </row>
    <row r="107" spans="1:48" x14ac:dyDescent="0.55000000000000004">
      <c r="A107" s="224" t="s">
        <v>31</v>
      </c>
      <c r="B107" s="225"/>
      <c r="C107" s="225"/>
      <c r="D107" s="225"/>
      <c r="E107" s="225"/>
      <c r="F107" s="5"/>
      <c r="G107" s="137">
        <v>4050</v>
      </c>
      <c r="H107" s="40"/>
      <c r="J107" s="12"/>
      <c r="K107" s="12"/>
      <c r="L107" s="12"/>
      <c r="M107" s="12"/>
      <c r="N107" s="34"/>
      <c r="O107" s="34"/>
      <c r="P107" s="34"/>
      <c r="Q107" s="148"/>
      <c r="R107" s="148"/>
      <c r="S107" s="34"/>
      <c r="T107" s="34"/>
      <c r="U107" s="34"/>
      <c r="AE107" s="226"/>
      <c r="AF107" s="226"/>
      <c r="AG107" s="226"/>
      <c r="AH107" s="47"/>
      <c r="AI107" s="47"/>
      <c r="AJ107" s="47"/>
      <c r="AK107" s="47"/>
      <c r="AL107" s="47"/>
      <c r="AM107" s="47"/>
      <c r="AN107" s="47"/>
      <c r="AO107" s="47"/>
    </row>
    <row r="108" spans="1:48" x14ac:dyDescent="0.55000000000000004">
      <c r="A108" s="224" t="s">
        <v>125</v>
      </c>
      <c r="B108" s="225"/>
      <c r="C108" s="225"/>
      <c r="D108" s="225"/>
      <c r="E108" s="225"/>
      <c r="F108" s="5"/>
      <c r="G108" s="137">
        <v>29200</v>
      </c>
      <c r="H108" s="40"/>
      <c r="J108" s="12"/>
      <c r="K108" s="12"/>
      <c r="L108" s="12"/>
      <c r="M108" s="12"/>
      <c r="N108" s="13"/>
      <c r="O108" s="13"/>
      <c r="AE108" s="222"/>
      <c r="AF108" s="222"/>
      <c r="AG108" s="222"/>
    </row>
    <row r="109" spans="1:48" x14ac:dyDescent="0.55000000000000004">
      <c r="A109" s="224" t="s">
        <v>676</v>
      </c>
      <c r="B109" s="225"/>
      <c r="C109" s="225"/>
      <c r="D109" s="225"/>
      <c r="E109" s="225"/>
      <c r="F109" s="5"/>
      <c r="G109" s="137">
        <v>174</v>
      </c>
      <c r="H109" s="40"/>
      <c r="J109" s="12"/>
      <c r="K109" s="12"/>
      <c r="L109" s="12"/>
      <c r="M109" s="12"/>
      <c r="N109" s="13"/>
      <c r="O109" s="13"/>
      <c r="AE109" s="222"/>
      <c r="AF109" s="222"/>
      <c r="AG109" s="222"/>
    </row>
    <row r="110" spans="1:48" ht="14.4" customHeight="1" x14ac:dyDescent="0.55000000000000004">
      <c r="A110" s="224" t="s">
        <v>79</v>
      </c>
      <c r="B110" s="225"/>
      <c r="C110" s="225"/>
      <c r="D110" s="225"/>
      <c r="E110" s="225"/>
      <c r="F110" s="5"/>
      <c r="G110" s="178">
        <v>60000</v>
      </c>
      <c r="H110" s="40"/>
      <c r="J110" s="12"/>
      <c r="K110" s="12"/>
      <c r="L110" s="12"/>
      <c r="M110" s="12"/>
      <c r="N110" s="42"/>
      <c r="O110" s="42"/>
      <c r="P110" s="42"/>
      <c r="Q110" s="42"/>
      <c r="R110" s="42"/>
      <c r="S110" s="42"/>
      <c r="T110" s="42"/>
      <c r="U110" s="42"/>
      <c r="AE110" s="222"/>
      <c r="AF110" s="222"/>
      <c r="AG110" s="222"/>
    </row>
    <row r="111" spans="1:48" x14ac:dyDescent="0.55000000000000004">
      <c r="A111" s="224" t="s">
        <v>561</v>
      </c>
      <c r="B111" s="225"/>
      <c r="C111" s="225"/>
      <c r="D111" s="225"/>
      <c r="E111" s="225"/>
      <c r="F111" s="5"/>
      <c r="G111" s="178">
        <v>360000</v>
      </c>
      <c r="H111" s="40"/>
      <c r="J111" s="32"/>
      <c r="K111" s="12"/>
      <c r="L111" s="12"/>
      <c r="M111" s="12"/>
      <c r="N111" s="42"/>
      <c r="O111" s="42"/>
      <c r="P111" s="42"/>
      <c r="Q111" s="42"/>
      <c r="R111" s="42"/>
      <c r="S111" s="42"/>
      <c r="T111" s="42"/>
      <c r="U111" s="42"/>
      <c r="AE111" s="222"/>
      <c r="AF111" s="222"/>
      <c r="AG111" s="222"/>
    </row>
    <row r="112" spans="1:48" x14ac:dyDescent="0.55000000000000004">
      <c r="A112" s="224" t="s">
        <v>115</v>
      </c>
      <c r="B112" s="225"/>
      <c r="C112" s="225"/>
      <c r="D112" s="225"/>
      <c r="E112" s="225"/>
      <c r="F112" s="5"/>
      <c r="G112" s="178">
        <v>240000</v>
      </c>
      <c r="J112" s="32"/>
      <c r="K112" s="12"/>
      <c r="L112" s="12"/>
      <c r="M112" s="12"/>
      <c r="N112" s="42"/>
      <c r="O112" s="42"/>
      <c r="P112" s="42"/>
      <c r="Q112" s="42"/>
      <c r="R112" s="42"/>
      <c r="S112" s="42"/>
      <c r="T112" s="42"/>
      <c r="U112" s="42"/>
      <c r="AE112" s="222"/>
      <c r="AF112" s="222"/>
      <c r="AG112" s="222"/>
    </row>
    <row r="113" spans="1:41" x14ac:dyDescent="0.55000000000000004">
      <c r="A113" s="224" t="s">
        <v>2</v>
      </c>
      <c r="B113" s="225"/>
      <c r="C113" s="225"/>
      <c r="D113" s="225"/>
      <c r="E113" s="225"/>
      <c r="F113" s="5"/>
      <c r="G113" s="178">
        <v>0</v>
      </c>
      <c r="H113" s="40"/>
      <c r="J113" s="12"/>
      <c r="K113" s="12"/>
      <c r="L113" s="12"/>
      <c r="M113" s="12"/>
      <c r="N113" s="42"/>
      <c r="O113" s="42"/>
      <c r="P113" s="42"/>
      <c r="Q113" s="42"/>
      <c r="R113" s="42"/>
      <c r="S113" s="42"/>
      <c r="T113" s="42"/>
      <c r="U113" s="42"/>
    </row>
    <row r="114" spans="1:41" x14ac:dyDescent="0.55000000000000004">
      <c r="A114" s="224" t="s">
        <v>675</v>
      </c>
      <c r="B114" s="225"/>
      <c r="C114" s="225"/>
      <c r="D114" s="225"/>
      <c r="E114" s="225"/>
      <c r="F114" s="5"/>
      <c r="G114" s="178">
        <v>10000</v>
      </c>
      <c r="H114" s="40"/>
      <c r="J114" s="12"/>
      <c r="K114" s="12"/>
      <c r="L114" s="12"/>
      <c r="M114" s="12"/>
    </row>
    <row r="115" spans="1:41" x14ac:dyDescent="0.55000000000000004">
      <c r="A115" s="224" t="s">
        <v>123</v>
      </c>
      <c r="B115" s="225"/>
      <c r="C115" s="225"/>
      <c r="D115" s="225"/>
      <c r="E115" s="225"/>
      <c r="F115" s="5"/>
      <c r="G115" s="178">
        <v>0</v>
      </c>
      <c r="J115" s="12"/>
      <c r="K115" s="12"/>
      <c r="L115" s="12"/>
      <c r="M115" s="12"/>
    </row>
    <row r="116" spans="1:41" x14ac:dyDescent="0.55000000000000004">
      <c r="A116" s="224" t="s">
        <v>122</v>
      </c>
      <c r="B116" s="225"/>
      <c r="C116" s="225"/>
      <c r="D116" s="225"/>
      <c r="E116" s="225"/>
      <c r="F116" s="5"/>
      <c r="G116" s="46">
        <v>2024</v>
      </c>
      <c r="J116" s="12"/>
      <c r="K116" s="12"/>
      <c r="L116" s="12"/>
      <c r="M116" s="12"/>
    </row>
    <row r="117" spans="1:41" x14ac:dyDescent="0.55000000000000004">
      <c r="A117" s="224" t="s">
        <v>80</v>
      </c>
      <c r="B117" s="225"/>
      <c r="C117" s="225"/>
      <c r="D117" s="225"/>
      <c r="E117" s="225"/>
      <c r="F117" s="5"/>
      <c r="G117" s="178">
        <v>0</v>
      </c>
      <c r="H117" s="40"/>
      <c r="J117" s="12"/>
      <c r="K117" s="12"/>
      <c r="L117" s="12"/>
      <c r="M117" s="12"/>
    </row>
    <row r="118" spans="1:41" x14ac:dyDescent="0.55000000000000004">
      <c r="A118" s="224" t="s">
        <v>81</v>
      </c>
      <c r="B118" s="225"/>
      <c r="C118" s="225"/>
      <c r="D118" s="225"/>
      <c r="E118" s="225"/>
      <c r="F118" s="5"/>
      <c r="G118" s="46">
        <v>2024</v>
      </c>
      <c r="J118" s="12"/>
      <c r="K118" s="12"/>
      <c r="L118" s="12"/>
      <c r="M118" s="12"/>
    </row>
    <row r="119" spans="1:41" x14ac:dyDescent="0.55000000000000004">
      <c r="A119" s="224" t="s">
        <v>16</v>
      </c>
      <c r="B119" s="225"/>
      <c r="C119" s="225"/>
      <c r="D119" s="225"/>
      <c r="E119" s="225"/>
      <c r="F119" s="5"/>
      <c r="G119" s="178">
        <v>5000</v>
      </c>
      <c r="J119" s="12"/>
      <c r="K119" s="12"/>
      <c r="L119" s="12"/>
      <c r="M119" s="12"/>
    </row>
    <row r="120" spans="1:41" x14ac:dyDescent="0.55000000000000004">
      <c r="A120" s="224" t="s">
        <v>111</v>
      </c>
      <c r="B120" s="225"/>
      <c r="C120" s="225"/>
      <c r="D120" s="225"/>
      <c r="E120" s="225"/>
      <c r="F120" s="5"/>
      <c r="G120" s="46">
        <v>2028</v>
      </c>
      <c r="J120" s="12"/>
      <c r="K120" s="12"/>
      <c r="L120" s="12"/>
      <c r="M120" s="12"/>
    </row>
    <row r="121" spans="1:41" x14ac:dyDescent="0.55000000000000004">
      <c r="A121" s="224" t="s">
        <v>17</v>
      </c>
      <c r="B121" s="225"/>
      <c r="C121" s="225"/>
      <c r="D121" s="225"/>
      <c r="E121" s="225"/>
      <c r="F121" s="5"/>
      <c r="G121" s="178">
        <v>5000</v>
      </c>
      <c r="J121" s="12"/>
      <c r="K121" s="12"/>
      <c r="L121" s="12"/>
      <c r="M121" s="12"/>
    </row>
    <row r="122" spans="1:41" x14ac:dyDescent="0.55000000000000004">
      <c r="A122" s="224" t="s">
        <v>112</v>
      </c>
      <c r="B122" s="225"/>
      <c r="C122" s="225"/>
      <c r="D122" s="225"/>
      <c r="E122" s="225"/>
      <c r="F122" s="5"/>
      <c r="G122" s="46">
        <v>2028</v>
      </c>
    </row>
    <row r="123" spans="1:41" x14ac:dyDescent="0.55000000000000004">
      <c r="A123" s="224" t="s">
        <v>109</v>
      </c>
      <c r="B123" s="225"/>
      <c r="C123" s="225"/>
      <c r="D123" s="225"/>
      <c r="E123" s="225"/>
      <c r="F123" s="5"/>
      <c r="G123" s="187">
        <v>23012</v>
      </c>
      <c r="H123" s="40"/>
      <c r="AE123" s="28"/>
      <c r="AH123"/>
      <c r="AI123"/>
      <c r="AJ123"/>
      <c r="AK123"/>
      <c r="AL123"/>
      <c r="AO123" s="8"/>
    </row>
    <row r="124" spans="1:41" x14ac:dyDescent="0.55000000000000004">
      <c r="A124" s="224" t="s">
        <v>110</v>
      </c>
      <c r="B124" s="225"/>
      <c r="C124" s="225"/>
      <c r="D124" s="225"/>
      <c r="E124" s="225"/>
      <c r="F124" s="5"/>
      <c r="G124" s="187">
        <v>23012</v>
      </c>
      <c r="H124" s="40"/>
      <c r="AO124" s="8"/>
    </row>
    <row r="125" spans="1:41" x14ac:dyDescent="0.55000000000000004">
      <c r="A125" s="224" t="s">
        <v>764</v>
      </c>
      <c r="B125" s="225"/>
      <c r="C125" s="225"/>
      <c r="D125" s="225"/>
      <c r="E125" s="225"/>
      <c r="F125" s="5"/>
      <c r="G125" s="188">
        <v>2025</v>
      </c>
      <c r="P125" s="28"/>
      <c r="Q125" s="150"/>
      <c r="R125" s="150"/>
      <c r="S125" s="28"/>
      <c r="T125" s="12"/>
      <c r="U125" s="12"/>
      <c r="V125" s="12"/>
      <c r="W125" s="12"/>
      <c r="X125" s="12"/>
      <c r="Y125" s="12"/>
      <c r="Z125" s="12"/>
      <c r="AA125" s="12"/>
      <c r="AB125" s="12"/>
      <c r="AC125" s="12"/>
      <c r="AD125" s="12"/>
      <c r="AO125" s="54"/>
    </row>
    <row r="126" spans="1:41" x14ac:dyDescent="0.55000000000000004">
      <c r="A126" s="224" t="s">
        <v>784</v>
      </c>
      <c r="B126" s="225"/>
      <c r="C126" s="225"/>
      <c r="D126" s="225"/>
      <c r="E126" s="225"/>
      <c r="F126" s="5"/>
      <c r="G126" s="188">
        <v>2025</v>
      </c>
      <c r="P126" s="28"/>
      <c r="Q126" s="150"/>
      <c r="R126" s="150"/>
      <c r="S126" s="28"/>
      <c r="T126" s="12"/>
      <c r="U126" s="12"/>
      <c r="V126" s="12"/>
      <c r="W126" s="12"/>
      <c r="X126" s="12"/>
      <c r="Y126" s="12"/>
      <c r="Z126" s="12"/>
      <c r="AA126" s="12"/>
      <c r="AB126" s="12"/>
      <c r="AC126" s="12"/>
      <c r="AD126" s="12"/>
      <c r="AO126" s="54"/>
    </row>
    <row r="127" spans="1:41" ht="14.4" customHeight="1" x14ac:dyDescent="0.55000000000000004">
      <c r="A127" s="224" t="s">
        <v>139</v>
      </c>
      <c r="B127" s="225"/>
      <c r="C127" s="225"/>
      <c r="D127" s="225"/>
      <c r="E127" s="225"/>
      <c r="F127" s="5"/>
      <c r="G127" s="189">
        <v>1</v>
      </c>
      <c r="H127" s="40"/>
      <c r="N127" s="70"/>
      <c r="O127" s="70"/>
      <c r="P127" s="70"/>
      <c r="Q127" s="70"/>
      <c r="R127" s="70"/>
      <c r="S127" s="70"/>
      <c r="T127" s="70"/>
      <c r="U127" s="70"/>
      <c r="V127" s="70"/>
      <c r="W127" s="12"/>
      <c r="X127" s="12"/>
      <c r="Y127" s="12"/>
      <c r="Z127" s="12"/>
      <c r="AA127" s="12"/>
      <c r="AB127" s="12"/>
      <c r="AC127" s="12"/>
      <c r="AD127" s="12"/>
    </row>
    <row r="128" spans="1:41" x14ac:dyDescent="0.55000000000000004">
      <c r="A128" s="224" t="s">
        <v>140</v>
      </c>
      <c r="B128" s="225"/>
      <c r="C128" s="225"/>
      <c r="D128" s="225"/>
      <c r="E128" s="225"/>
      <c r="F128" s="5"/>
      <c r="G128" s="189">
        <v>1</v>
      </c>
      <c r="H128" s="40"/>
      <c r="N128" s="70"/>
      <c r="O128" s="70"/>
      <c r="P128" s="70"/>
      <c r="Q128" s="70"/>
      <c r="R128" s="70"/>
      <c r="S128" s="70"/>
      <c r="T128" s="70"/>
      <c r="U128" s="70"/>
      <c r="V128" s="70"/>
      <c r="W128" s="12"/>
      <c r="X128" s="12"/>
      <c r="Y128" s="12"/>
      <c r="Z128" s="12"/>
      <c r="AA128" s="12"/>
      <c r="AB128" s="12"/>
      <c r="AC128" s="12"/>
      <c r="AD128" s="12"/>
      <c r="AE128" s="28"/>
      <c r="AF128" s="28"/>
      <c r="AG128" s="28"/>
      <c r="AH128" s="28"/>
      <c r="AI128" s="28"/>
      <c r="AJ128" s="28"/>
      <c r="AK128" s="28"/>
      <c r="AL128" s="28"/>
    </row>
    <row r="129" spans="1:38" x14ac:dyDescent="0.55000000000000004">
      <c r="A129" s="224" t="s">
        <v>181</v>
      </c>
      <c r="B129" s="225"/>
      <c r="C129" s="225"/>
      <c r="D129" s="225"/>
      <c r="E129" s="225"/>
      <c r="F129" s="5"/>
      <c r="G129" s="189">
        <v>0</v>
      </c>
      <c r="N129" s="70"/>
      <c r="O129" s="70"/>
      <c r="P129" s="70"/>
      <c r="Q129" s="70"/>
      <c r="R129" s="70"/>
      <c r="S129" s="70"/>
      <c r="T129" s="70"/>
      <c r="U129" s="70"/>
      <c r="V129" s="70"/>
      <c r="W129" s="12"/>
      <c r="X129" s="12"/>
      <c r="Y129" s="12"/>
      <c r="Z129" s="12"/>
      <c r="AA129" s="12"/>
      <c r="AB129" s="12"/>
      <c r="AC129" s="12"/>
      <c r="AD129" s="12"/>
    </row>
    <row r="130" spans="1:38" x14ac:dyDescent="0.55000000000000004">
      <c r="A130" s="224" t="s">
        <v>182</v>
      </c>
      <c r="B130" s="225"/>
      <c r="C130" s="225"/>
      <c r="D130" s="225"/>
      <c r="E130" s="225"/>
      <c r="F130" s="5"/>
      <c r="G130" s="189">
        <v>0</v>
      </c>
      <c r="N130" s="70"/>
      <c r="O130" s="70"/>
      <c r="P130" s="70"/>
      <c r="Q130" s="70"/>
      <c r="R130" s="70"/>
      <c r="S130" s="70"/>
      <c r="T130" s="70"/>
      <c r="U130" s="70"/>
      <c r="V130" s="70"/>
      <c r="W130" s="12"/>
      <c r="X130" s="12"/>
      <c r="Y130" s="12"/>
      <c r="Z130" s="12"/>
      <c r="AA130" s="12"/>
      <c r="AB130" s="12"/>
      <c r="AC130" s="12"/>
      <c r="AD130" s="12"/>
    </row>
    <row r="131" spans="1:38" x14ac:dyDescent="0.55000000000000004">
      <c r="A131" s="224" t="s">
        <v>591</v>
      </c>
      <c r="B131" s="225"/>
      <c r="C131" s="225"/>
      <c r="D131" s="225"/>
      <c r="E131" s="225"/>
      <c r="F131" s="5"/>
      <c r="G131" s="172">
        <v>0</v>
      </c>
      <c r="N131" s="70"/>
      <c r="O131" s="70"/>
      <c r="P131" s="70"/>
      <c r="Q131" s="70"/>
      <c r="R131" s="70"/>
      <c r="S131" s="70"/>
      <c r="T131" s="70"/>
      <c r="U131" s="70"/>
      <c r="V131" s="70"/>
      <c r="W131" s="12"/>
      <c r="X131" s="12"/>
      <c r="Y131" s="12"/>
      <c r="Z131" s="12"/>
      <c r="AA131" s="12"/>
      <c r="AB131" s="12"/>
      <c r="AC131" s="12"/>
      <c r="AD131" s="12"/>
    </row>
    <row r="132" spans="1:38" x14ac:dyDescent="0.55000000000000004">
      <c r="A132" s="231" t="s">
        <v>592</v>
      </c>
      <c r="B132" s="232"/>
      <c r="C132" s="232"/>
      <c r="D132" s="232"/>
      <c r="E132" s="232"/>
      <c r="F132" s="186"/>
      <c r="G132" s="172">
        <v>0</v>
      </c>
      <c r="H132" s="45"/>
      <c r="N132" s="70"/>
      <c r="O132" s="70"/>
      <c r="P132" s="70"/>
      <c r="Q132" s="70"/>
      <c r="R132" s="70"/>
      <c r="S132" s="70"/>
      <c r="T132" s="70"/>
      <c r="U132" s="70"/>
      <c r="V132" s="70"/>
      <c r="W132" s="12"/>
      <c r="X132" s="12"/>
      <c r="Y132" s="12"/>
      <c r="Z132" s="12"/>
      <c r="AA132" s="12"/>
      <c r="AB132" s="12"/>
      <c r="AC132" s="12"/>
      <c r="AD132" s="12"/>
      <c r="AE132" s="12"/>
      <c r="AF132" s="12"/>
      <c r="AG132" s="12"/>
      <c r="AH132" s="28"/>
      <c r="AI132" s="28"/>
      <c r="AJ132" s="28"/>
      <c r="AK132" s="28"/>
      <c r="AL132" s="28"/>
    </row>
    <row r="133" spans="1:38" x14ac:dyDescent="0.55000000000000004">
      <c r="A133" s="231" t="s">
        <v>771</v>
      </c>
      <c r="B133" s="232"/>
      <c r="C133" s="232"/>
      <c r="D133" s="232"/>
      <c r="E133" s="233"/>
      <c r="F133" s="166"/>
      <c r="G133" s="188"/>
      <c r="H133" s="45"/>
      <c r="N133" s="70"/>
      <c r="O133" s="70"/>
      <c r="P133" s="70"/>
      <c r="Q133" s="70"/>
      <c r="R133" s="70"/>
      <c r="S133" s="70"/>
      <c r="T133" s="70"/>
      <c r="U133" s="70"/>
      <c r="V133" s="70"/>
      <c r="W133" s="12"/>
      <c r="X133" s="12"/>
      <c r="Y133" s="12"/>
      <c r="Z133" s="12"/>
      <c r="AA133" s="12"/>
      <c r="AB133" s="12"/>
      <c r="AC133" s="12"/>
      <c r="AD133" s="12"/>
      <c r="AE133" s="12"/>
      <c r="AF133" s="12"/>
      <c r="AG133" s="12"/>
      <c r="AH133" s="28"/>
      <c r="AI133" s="28"/>
      <c r="AJ133" s="28"/>
      <c r="AK133" s="28"/>
      <c r="AL133" s="28"/>
    </row>
    <row r="134" spans="1:38" x14ac:dyDescent="0.55000000000000004">
      <c r="A134" s="231" t="s">
        <v>772</v>
      </c>
      <c r="B134" s="232"/>
      <c r="C134" s="232"/>
      <c r="D134" s="232"/>
      <c r="E134" s="233"/>
      <c r="F134" s="166"/>
      <c r="G134" s="188"/>
      <c r="H134" s="45"/>
      <c r="N134" s="70"/>
      <c r="O134" s="70"/>
      <c r="P134" s="70"/>
      <c r="Q134" s="70"/>
      <c r="R134" s="70"/>
      <c r="S134" s="70"/>
      <c r="T134" s="70"/>
      <c r="U134" s="70"/>
      <c r="V134" s="70"/>
      <c r="W134" s="12"/>
      <c r="X134" s="12"/>
      <c r="Y134" s="12"/>
      <c r="Z134" s="12"/>
      <c r="AA134" s="12"/>
      <c r="AB134" s="12"/>
      <c r="AC134" s="12"/>
      <c r="AD134" s="12"/>
      <c r="AE134" s="12"/>
      <c r="AF134" s="12"/>
      <c r="AG134" s="12"/>
      <c r="AH134" s="28"/>
      <c r="AI134" s="28"/>
      <c r="AJ134" s="28"/>
      <c r="AK134" s="28"/>
      <c r="AL134" s="28"/>
    </row>
    <row r="135" spans="1:38" x14ac:dyDescent="0.55000000000000004">
      <c r="A135" s="231" t="s">
        <v>773</v>
      </c>
      <c r="B135" s="232"/>
      <c r="C135" s="232"/>
      <c r="D135" s="232"/>
      <c r="E135" s="233"/>
      <c r="F135" s="166"/>
      <c r="G135" s="188">
        <v>1</v>
      </c>
      <c r="H135" s="45"/>
      <c r="N135" s="70"/>
      <c r="O135" s="70"/>
      <c r="P135" s="70"/>
      <c r="Q135" s="70"/>
      <c r="R135" s="70"/>
      <c r="S135" s="70"/>
      <c r="T135" s="70"/>
      <c r="U135" s="70"/>
      <c r="V135" s="70"/>
      <c r="W135" s="12"/>
      <c r="X135" s="12"/>
      <c r="Y135" s="12"/>
      <c r="Z135" s="12"/>
      <c r="AA135" s="12"/>
      <c r="AB135" s="12"/>
      <c r="AC135" s="12"/>
      <c r="AD135" s="12"/>
      <c r="AE135" s="12"/>
      <c r="AF135" s="12"/>
      <c r="AG135" s="12"/>
      <c r="AH135" s="28"/>
      <c r="AI135" s="28"/>
      <c r="AJ135" s="28"/>
      <c r="AK135" s="28"/>
      <c r="AL135" s="28"/>
    </row>
    <row r="136" spans="1:38" x14ac:dyDescent="0.55000000000000004">
      <c r="A136" s="231" t="s">
        <v>774</v>
      </c>
      <c r="B136" s="232"/>
      <c r="C136" s="232"/>
      <c r="D136" s="232"/>
      <c r="E136" s="233"/>
      <c r="F136" s="166"/>
      <c r="G136" s="188">
        <v>1</v>
      </c>
      <c r="H136" s="45"/>
      <c r="N136" s="70"/>
      <c r="O136" s="70"/>
      <c r="P136" s="70"/>
      <c r="Q136" s="70"/>
      <c r="R136" s="70"/>
      <c r="S136" s="70"/>
      <c r="T136" s="70"/>
      <c r="U136" s="70"/>
      <c r="V136" s="70"/>
      <c r="W136" s="12"/>
      <c r="X136" s="12"/>
      <c r="Y136" s="12"/>
      <c r="Z136" s="12"/>
      <c r="AA136" s="12"/>
      <c r="AB136" s="12"/>
      <c r="AC136" s="12"/>
      <c r="AD136" s="12"/>
      <c r="AE136" s="12"/>
      <c r="AF136" s="12"/>
      <c r="AG136" s="12"/>
      <c r="AH136" s="28"/>
      <c r="AI136" s="28"/>
      <c r="AJ136" s="28"/>
      <c r="AK136" s="28"/>
      <c r="AL136" s="28"/>
    </row>
    <row r="137" spans="1:38" x14ac:dyDescent="0.55000000000000004">
      <c r="A137" s="175"/>
      <c r="B137" s="176"/>
      <c r="C137" s="176"/>
      <c r="D137" s="176"/>
      <c r="E137" s="176"/>
      <c r="F137" s="166"/>
      <c r="G137" s="176"/>
      <c r="H137" s="45"/>
      <c r="N137" s="70"/>
      <c r="O137" s="70"/>
      <c r="P137" s="70"/>
      <c r="Q137" s="70"/>
      <c r="R137" s="70"/>
      <c r="S137" s="70"/>
      <c r="T137" s="70"/>
      <c r="U137" s="70"/>
      <c r="V137" s="70"/>
      <c r="W137" s="12"/>
      <c r="X137" s="12"/>
      <c r="Y137" s="12"/>
      <c r="Z137" s="12"/>
      <c r="AA137" s="12"/>
      <c r="AB137" s="12"/>
      <c r="AC137" s="12"/>
      <c r="AD137" s="12"/>
      <c r="AE137" s="12"/>
      <c r="AF137" s="12"/>
      <c r="AG137" s="12"/>
      <c r="AH137" s="28"/>
      <c r="AI137" s="28"/>
      <c r="AJ137" s="28"/>
      <c r="AK137" s="28"/>
      <c r="AL137" s="28"/>
    </row>
    <row r="138" spans="1:38" x14ac:dyDescent="0.55000000000000004">
      <c r="A138" s="230" t="s">
        <v>674</v>
      </c>
      <c r="B138" s="230"/>
      <c r="C138" s="230"/>
      <c r="D138" s="230"/>
      <c r="E138" s="230"/>
      <c r="F138" s="230"/>
      <c r="G138" s="230"/>
      <c r="H138" s="45"/>
      <c r="I138" s="45"/>
      <c r="N138" s="70"/>
      <c r="O138" s="70"/>
      <c r="P138" s="70"/>
      <c r="Q138" s="70"/>
      <c r="R138" s="70"/>
      <c r="S138" s="70"/>
      <c r="T138" s="70"/>
      <c r="U138" s="70"/>
      <c r="V138" s="70"/>
      <c r="W138" s="12"/>
      <c r="X138" s="12"/>
      <c r="Y138" s="12"/>
      <c r="Z138" s="12"/>
      <c r="AA138" s="12"/>
      <c r="AB138" s="12"/>
      <c r="AC138" s="12"/>
      <c r="AD138" s="12"/>
      <c r="AE138" s="12"/>
      <c r="AF138" s="12"/>
      <c r="AG138" s="12"/>
      <c r="AH138" s="28"/>
      <c r="AI138" s="28"/>
      <c r="AJ138" s="28"/>
      <c r="AK138" s="28"/>
      <c r="AL138" s="28"/>
    </row>
    <row r="139" spans="1:38" x14ac:dyDescent="0.55000000000000004">
      <c r="A139" s="224" t="s">
        <v>559</v>
      </c>
      <c r="B139" s="225"/>
      <c r="C139" s="225"/>
      <c r="D139" s="225"/>
      <c r="E139" s="225"/>
      <c r="F139" s="44"/>
      <c r="G139" s="154" t="s">
        <v>755</v>
      </c>
      <c r="H139" s="61"/>
      <c r="N139" s="70"/>
      <c r="O139" s="70"/>
      <c r="P139" s="70"/>
      <c r="Q139" s="70"/>
      <c r="R139" s="70"/>
      <c r="S139" s="70"/>
      <c r="T139" s="70"/>
      <c r="U139" s="70"/>
      <c r="V139" s="70"/>
      <c r="W139" s="12"/>
      <c r="X139" s="12"/>
      <c r="Y139" s="12"/>
      <c r="Z139" s="12"/>
      <c r="AA139" s="12"/>
      <c r="AB139" s="12"/>
      <c r="AC139" s="12"/>
      <c r="AD139" s="12"/>
      <c r="AE139" s="12"/>
      <c r="AF139" s="12"/>
      <c r="AG139" s="12"/>
      <c r="AH139" s="28"/>
      <c r="AI139" s="28"/>
      <c r="AJ139" s="28"/>
      <c r="AK139" s="28"/>
      <c r="AL139" s="28"/>
    </row>
    <row r="140" spans="1:38" x14ac:dyDescent="0.55000000000000004">
      <c r="A140" s="231" t="s">
        <v>623</v>
      </c>
      <c r="B140" s="232"/>
      <c r="C140" s="232"/>
      <c r="D140" s="232"/>
      <c r="E140" s="232"/>
      <c r="F140" s="186"/>
      <c r="G140" s="172" t="s">
        <v>785</v>
      </c>
      <c r="H140" s="72"/>
      <c r="N140" s="70"/>
      <c r="O140" s="70"/>
      <c r="P140" s="70"/>
      <c r="Q140" s="70"/>
      <c r="R140" s="70"/>
      <c r="S140" s="70"/>
      <c r="T140" s="70"/>
      <c r="U140" s="70"/>
      <c r="V140" s="70"/>
      <c r="W140" s="12"/>
      <c r="X140" s="12"/>
      <c r="Y140" s="12"/>
      <c r="Z140" s="12"/>
      <c r="AA140" s="12"/>
      <c r="AB140" s="12"/>
      <c r="AC140" s="12"/>
      <c r="AD140" s="12"/>
      <c r="AE140" s="12"/>
      <c r="AF140" s="12"/>
      <c r="AG140" s="12"/>
      <c r="AH140" s="28"/>
      <c r="AI140" s="28"/>
      <c r="AJ140" s="28"/>
      <c r="AK140" s="28"/>
      <c r="AL140" s="28"/>
    </row>
    <row r="141" spans="1:38" x14ac:dyDescent="0.55000000000000004">
      <c r="A141" s="175"/>
      <c r="B141" s="176"/>
      <c r="C141" s="176"/>
      <c r="D141" s="176"/>
      <c r="E141" s="176"/>
      <c r="F141" s="166"/>
      <c r="G141" s="176"/>
      <c r="H141" s="45"/>
      <c r="N141" s="70"/>
      <c r="O141" s="70"/>
      <c r="P141" s="70"/>
      <c r="Q141" s="70"/>
      <c r="R141" s="70"/>
      <c r="S141" s="70"/>
      <c r="T141" s="70"/>
      <c r="U141" s="70"/>
      <c r="V141" s="70"/>
      <c r="W141" s="12"/>
      <c r="X141" s="12"/>
      <c r="Y141" s="12"/>
      <c r="Z141" s="12"/>
      <c r="AA141" s="12"/>
      <c r="AB141" s="12"/>
      <c r="AC141" s="12"/>
      <c r="AD141" s="12"/>
      <c r="AE141" s="12"/>
      <c r="AF141" s="12"/>
      <c r="AG141" s="12"/>
      <c r="AH141" s="28"/>
      <c r="AI141" s="28"/>
      <c r="AJ141" s="28"/>
      <c r="AK141" s="28"/>
      <c r="AL141" s="28"/>
    </row>
    <row r="142" spans="1:38" x14ac:dyDescent="0.55000000000000004">
      <c r="A142" s="216" t="s">
        <v>203</v>
      </c>
      <c r="B142" s="217"/>
      <c r="C142" s="217"/>
      <c r="D142" s="217"/>
      <c r="E142" s="217"/>
      <c r="F142" s="217"/>
      <c r="G142" s="217"/>
      <c r="H142" s="40"/>
      <c r="N142" s="34"/>
      <c r="O142" s="34"/>
      <c r="P142" s="34"/>
      <c r="Q142" s="148"/>
      <c r="R142" s="148"/>
      <c r="S142" s="34"/>
      <c r="T142" s="34"/>
      <c r="U142" s="34"/>
      <c r="V142" s="34"/>
      <c r="W142" s="12"/>
      <c r="X142" s="12"/>
      <c r="Y142" s="12"/>
      <c r="Z142" s="12"/>
      <c r="AA142" s="12"/>
      <c r="AB142" s="12"/>
      <c r="AC142" s="12"/>
      <c r="AD142" s="12"/>
      <c r="AE142" s="12"/>
      <c r="AF142" s="12"/>
      <c r="AG142" s="12"/>
      <c r="AH142" s="28"/>
      <c r="AI142" s="28"/>
      <c r="AJ142" s="28"/>
      <c r="AK142" s="28"/>
      <c r="AL142" s="28"/>
    </row>
    <row r="143" spans="1:38" x14ac:dyDescent="0.55000000000000004">
      <c r="A143" s="224" t="s">
        <v>770</v>
      </c>
      <c r="B143" s="225"/>
      <c r="C143" s="225"/>
      <c r="D143" s="225"/>
      <c r="E143" s="225"/>
      <c r="F143" s="44"/>
      <c r="G143" s="190">
        <f>FV(G$146,G$102-2017,0,-G107)</f>
        <v>5583.6093680152626</v>
      </c>
      <c r="H143" s="61"/>
      <c r="N143" s="34"/>
      <c r="O143" s="34"/>
      <c r="P143" s="34"/>
      <c r="Q143" s="148"/>
      <c r="R143" s="148"/>
      <c r="S143" s="34"/>
      <c r="T143" s="34"/>
      <c r="U143" s="34"/>
      <c r="V143" s="34"/>
      <c r="W143" s="12"/>
      <c r="X143" s="12"/>
      <c r="Y143" s="12"/>
      <c r="Z143" s="12"/>
      <c r="AA143" s="12"/>
      <c r="AB143" s="12"/>
      <c r="AC143" s="12"/>
      <c r="AD143" s="12"/>
      <c r="AE143" s="12"/>
      <c r="AF143" s="12"/>
      <c r="AG143" s="12"/>
      <c r="AH143" s="28"/>
      <c r="AI143" s="28"/>
      <c r="AJ143" s="28"/>
      <c r="AK143" s="28"/>
      <c r="AL143" s="28"/>
    </row>
    <row r="144" spans="1:38" x14ac:dyDescent="0.55000000000000004">
      <c r="A144" s="228" t="s">
        <v>126</v>
      </c>
      <c r="B144" s="229"/>
      <c r="C144" s="229"/>
      <c r="D144" s="229"/>
      <c r="E144" s="229"/>
      <c r="F144" s="191"/>
      <c r="G144" s="192">
        <f>IF(G$133&gt;0,G$133,_xlfn.XLOOKUP($G$155,$D$209:$D$217, $E$209:$E$217,VLOOKUP(INT($G$155),$D$209:$E$217,2) + (VLOOKUP(INT($G$155)+1,$D$209:$E$217,2)-VLOOKUP(INT($G$155),$D$209:$E$217,2))*(G$155-INT(G$155))) * 12)</f>
        <v>28272</v>
      </c>
      <c r="H144" s="194"/>
      <c r="N144" s="34"/>
      <c r="O144" s="34"/>
      <c r="P144" s="34"/>
      <c r="Q144" s="148"/>
      <c r="R144" s="148"/>
      <c r="S144" s="34"/>
      <c r="T144" s="34"/>
      <c r="U144" s="34"/>
      <c r="V144" s="34"/>
      <c r="W144" s="12"/>
      <c r="X144" s="12"/>
      <c r="Y144" s="12"/>
      <c r="Z144" s="12"/>
      <c r="AA144" s="12"/>
      <c r="AB144" s="12"/>
      <c r="AC144" s="12"/>
      <c r="AD144" s="12"/>
      <c r="AE144" s="12"/>
      <c r="AF144" s="12"/>
      <c r="AG144" s="12"/>
      <c r="AH144" s="28"/>
      <c r="AI144" s="28"/>
      <c r="AJ144" s="28"/>
      <c r="AK144" s="28"/>
      <c r="AL144" s="28"/>
    </row>
    <row r="145" spans="1:38" x14ac:dyDescent="0.55000000000000004">
      <c r="A145" s="228" t="s">
        <v>127</v>
      </c>
      <c r="B145" s="229"/>
      <c r="C145" s="229"/>
      <c r="D145" s="229"/>
      <c r="E145" s="229"/>
      <c r="F145" s="191"/>
      <c r="G145" s="192">
        <f>IF(G$124="NONE",0,IF(G$134&gt;0,G$134,_xlfn.XLOOKUP($G$156,$F$209:$F$217, $G$209:$G$217,VLOOKUP(INT($G$156),$F$209:$G$217,2) + (VLOOKUP(INT($G$156)+1,$F$209:$G$217,2)-VLOOKUP(INT($G$156),$F$209:$G$217,2))*(G$156-INT(G$156))) * 12))</f>
        <v>10642.800000000001</v>
      </c>
      <c r="H145" s="194"/>
      <c r="N145" s="34"/>
      <c r="O145" s="34"/>
      <c r="P145" s="34"/>
      <c r="Q145" s="148"/>
      <c r="R145" s="148"/>
      <c r="S145" s="34"/>
      <c r="T145" s="34"/>
      <c r="U145" s="34"/>
      <c r="V145" s="34"/>
      <c r="W145" s="12"/>
      <c r="X145" s="12"/>
      <c r="Y145" s="12"/>
      <c r="Z145" s="12"/>
      <c r="AA145" s="12"/>
      <c r="AB145" s="12"/>
      <c r="AC145" s="12"/>
      <c r="AD145" s="12"/>
      <c r="AE145" s="12"/>
      <c r="AF145" s="12"/>
      <c r="AG145" s="12"/>
      <c r="AH145" s="28"/>
      <c r="AI145" s="28"/>
      <c r="AJ145" s="28"/>
      <c r="AK145" s="28"/>
      <c r="AL145" s="28"/>
    </row>
    <row r="146" spans="1:38" x14ac:dyDescent="0.55000000000000004">
      <c r="A146" s="228" t="s">
        <v>8</v>
      </c>
      <c r="B146" s="229"/>
      <c r="C146" s="229"/>
      <c r="D146" s="229"/>
      <c r="E146" s="229"/>
      <c r="F146" s="191"/>
      <c r="G146" s="193">
        <f>G$92 * G$91</f>
        <v>1.8000000000000002E-2</v>
      </c>
      <c r="H146" s="194"/>
      <c r="N146" s="21"/>
      <c r="O146" s="34"/>
      <c r="P146" s="34"/>
      <c r="Q146" s="148"/>
      <c r="R146" s="148"/>
      <c r="S146" s="34"/>
      <c r="T146" s="34"/>
      <c r="U146" s="34"/>
      <c r="V146" s="34"/>
      <c r="W146" s="12"/>
      <c r="X146" s="12"/>
      <c r="Y146" s="12"/>
      <c r="Z146" s="12"/>
      <c r="AA146" s="12"/>
      <c r="AB146" s="12"/>
      <c r="AC146" s="12"/>
      <c r="AD146" s="12"/>
      <c r="AE146" s="12"/>
      <c r="AF146" s="12"/>
      <c r="AG146" s="12"/>
      <c r="AH146" s="28"/>
      <c r="AI146" s="28"/>
      <c r="AJ146" s="28"/>
      <c r="AK146" s="28"/>
      <c r="AL146" s="28"/>
    </row>
    <row r="147" spans="1:38" x14ac:dyDescent="0.55000000000000004">
      <c r="A147" s="224" t="s">
        <v>170</v>
      </c>
      <c r="B147" s="225"/>
      <c r="C147" s="225"/>
      <c r="D147" s="225"/>
      <c r="E147" s="225"/>
      <c r="F147" s="5"/>
      <c r="G147" s="188">
        <f>IF(MONTH(0.5+ G123+G155*365.25) + 1 = 13,1,0) + YEAR(0.5 + G123+G155*365.25)</f>
        <v>2033</v>
      </c>
      <c r="H147" s="40"/>
      <c r="N147" s="21"/>
      <c r="O147" s="34"/>
      <c r="P147" s="34"/>
      <c r="Q147" s="148"/>
      <c r="R147" s="148"/>
      <c r="S147" s="34"/>
      <c r="T147" s="34"/>
      <c r="U147" s="34"/>
      <c r="V147" s="34"/>
      <c r="W147" s="12"/>
      <c r="X147" s="12"/>
      <c r="Y147" s="12"/>
      <c r="Z147" s="12"/>
      <c r="AA147" s="12"/>
      <c r="AB147" s="12"/>
      <c r="AC147" s="12"/>
      <c r="AD147" s="12"/>
      <c r="AE147" s="12"/>
      <c r="AF147" s="12"/>
      <c r="AG147" s="12"/>
      <c r="AH147" s="28"/>
      <c r="AI147" s="28"/>
      <c r="AJ147" s="28"/>
      <c r="AK147" s="28"/>
      <c r="AL147" s="28"/>
    </row>
    <row r="148" spans="1:38" x14ac:dyDescent="0.55000000000000004">
      <c r="A148" s="224" t="s">
        <v>171</v>
      </c>
      <c r="B148" s="225"/>
      <c r="C148" s="225"/>
      <c r="D148" s="225"/>
      <c r="E148" s="225"/>
      <c r="F148" s="5"/>
      <c r="G148" s="188">
        <f>IF(MONTH(0.5+ G123+G155*365.25) + 1=13,1,MONTH(0.5+ G123+G155*365.25)+1)</f>
        <v>2</v>
      </c>
      <c r="H148" s="40"/>
      <c r="N148" s="34"/>
      <c r="O148" s="34"/>
      <c r="P148" s="34"/>
      <c r="Q148" s="148"/>
      <c r="R148" s="148"/>
      <c r="S148" s="34"/>
      <c r="T148" s="34"/>
      <c r="U148" s="34"/>
      <c r="V148" s="34"/>
      <c r="W148" s="12"/>
      <c r="X148" s="12"/>
      <c r="Y148" s="12"/>
      <c r="Z148" s="12"/>
      <c r="AA148" s="12"/>
      <c r="AB148" s="12"/>
      <c r="AC148" s="12"/>
      <c r="AD148" s="12"/>
      <c r="AE148" s="12"/>
      <c r="AF148" s="12"/>
      <c r="AG148" s="12"/>
      <c r="AH148" s="28"/>
      <c r="AI148" s="28"/>
      <c r="AJ148" s="28"/>
      <c r="AK148" s="28"/>
      <c r="AL148" s="28"/>
    </row>
    <row r="149" spans="1:38" x14ac:dyDescent="0.55000000000000004">
      <c r="A149" s="224" t="s">
        <v>172</v>
      </c>
      <c r="B149" s="225"/>
      <c r="C149" s="225"/>
      <c r="D149" s="225"/>
      <c r="E149" s="225"/>
      <c r="F149" s="5"/>
      <c r="G149" s="188">
        <f>IF(MONTH(0.5+ G124+G156*365.25) + 1 = 13,1,0) + YEAR(0.5 + G124+G156*365.25)</f>
        <v>2025</v>
      </c>
      <c r="H149" s="40"/>
      <c r="N149" s="34"/>
      <c r="O149" s="34"/>
      <c r="P149" s="34"/>
      <c r="Q149" s="148"/>
      <c r="R149" s="148"/>
      <c r="S149" s="34"/>
      <c r="T149" s="34"/>
      <c r="U149" s="34"/>
      <c r="V149" s="34"/>
      <c r="W149" s="12"/>
      <c r="X149" s="12"/>
      <c r="Y149" s="12"/>
      <c r="Z149" s="12"/>
      <c r="AA149" s="12"/>
      <c r="AB149" s="12"/>
      <c r="AC149" s="12"/>
      <c r="AD149" s="12"/>
      <c r="AE149" s="12"/>
      <c r="AF149" s="12"/>
      <c r="AG149" s="12"/>
      <c r="AH149" s="28"/>
      <c r="AI149" s="28"/>
      <c r="AJ149" s="28"/>
      <c r="AK149" s="28"/>
      <c r="AL149" s="28"/>
    </row>
    <row r="150" spans="1:38" x14ac:dyDescent="0.55000000000000004">
      <c r="A150" s="224" t="s">
        <v>173</v>
      </c>
      <c r="B150" s="225"/>
      <c r="C150" s="225"/>
      <c r="D150" s="225"/>
      <c r="E150" s="225"/>
      <c r="F150" s="5"/>
      <c r="G150" s="188">
        <f>IF(MONTH(0.5+ G124+G156*365.25) + 1=13,1,MONTH(0.5+ G124+G156*365.25)+1)</f>
        <v>2</v>
      </c>
      <c r="H150" s="40"/>
      <c r="N150" s="34"/>
      <c r="O150" s="34"/>
      <c r="P150" s="34"/>
      <c r="Q150" s="148"/>
      <c r="R150" s="148"/>
      <c r="S150" s="34"/>
      <c r="T150" s="34"/>
      <c r="U150" s="34"/>
      <c r="V150" s="34"/>
      <c r="W150" s="12"/>
      <c r="X150" s="12"/>
      <c r="Y150" s="12"/>
      <c r="Z150" s="12"/>
      <c r="AA150" s="12"/>
      <c r="AB150" s="12"/>
      <c r="AC150" s="12"/>
      <c r="AD150" s="12"/>
      <c r="AE150" s="12"/>
      <c r="AF150" s="12"/>
      <c r="AG150" s="12"/>
      <c r="AH150" s="28"/>
      <c r="AI150" s="28"/>
      <c r="AJ150" s="28"/>
      <c r="AK150" s="28"/>
      <c r="AL150" s="28"/>
    </row>
    <row r="151" spans="1:38" x14ac:dyDescent="0.55000000000000004">
      <c r="A151" s="224" t="s">
        <v>184</v>
      </c>
      <c r="B151" s="225"/>
      <c r="C151" s="225"/>
      <c r="D151" s="225"/>
      <c r="E151" s="225"/>
      <c r="F151" s="5"/>
      <c r="G151" s="188">
        <v>95</v>
      </c>
      <c r="H151" s="40"/>
      <c r="N151" s="70"/>
      <c r="O151" s="70"/>
      <c r="P151" s="70"/>
      <c r="Q151" s="151"/>
      <c r="R151" s="151"/>
      <c r="S151" s="70"/>
      <c r="T151" s="70"/>
      <c r="U151" s="70"/>
      <c r="V151" s="70"/>
      <c r="W151" s="12"/>
      <c r="X151" s="12"/>
      <c r="Y151" s="12"/>
      <c r="Z151" s="12"/>
      <c r="AA151" s="12"/>
      <c r="AB151" s="12"/>
      <c r="AC151" s="12"/>
      <c r="AD151" s="12"/>
      <c r="AE151" s="12"/>
      <c r="AF151" s="12"/>
      <c r="AG151" s="12"/>
      <c r="AH151" s="28"/>
      <c r="AI151" s="28"/>
      <c r="AJ151" s="28"/>
      <c r="AK151" s="28"/>
      <c r="AL151" s="28"/>
    </row>
    <row r="152" spans="1:38" x14ac:dyDescent="0.55000000000000004">
      <c r="A152" s="224" t="s">
        <v>214</v>
      </c>
      <c r="B152" s="225"/>
      <c r="C152" s="225"/>
      <c r="D152" s="225"/>
      <c r="E152" s="225"/>
      <c r="F152" s="5"/>
      <c r="G152" s="46" t="str">
        <f>IF(OR(G$99="TCJAHISTORIC", G$99="TCJAPESSIMISTIC"),"TCJA-EXT","POST-TCJA")</f>
        <v>TCJA-EXT</v>
      </c>
      <c r="H152" s="40"/>
      <c r="N152" s="70"/>
      <c r="O152" s="70"/>
      <c r="P152" s="70"/>
      <c r="Q152" s="151"/>
      <c r="R152" s="151"/>
      <c r="S152" s="70"/>
      <c r="T152" s="70"/>
      <c r="U152" s="70"/>
      <c r="V152" s="70"/>
      <c r="W152" s="12"/>
      <c r="X152" s="12"/>
      <c r="Y152" s="12"/>
      <c r="Z152" s="12"/>
      <c r="AA152" s="12"/>
      <c r="AB152" s="12"/>
      <c r="AC152" s="12"/>
      <c r="AD152" s="12"/>
      <c r="AE152" s="12"/>
      <c r="AF152" s="12"/>
      <c r="AG152" s="12"/>
      <c r="AH152" s="28"/>
      <c r="AI152" s="28"/>
      <c r="AJ152" s="28"/>
      <c r="AK152" s="28"/>
      <c r="AL152" s="28"/>
    </row>
    <row r="153" spans="1:38" x14ac:dyDescent="0.55000000000000004">
      <c r="A153" s="224" t="s">
        <v>210</v>
      </c>
      <c r="B153" s="225"/>
      <c r="C153" s="225"/>
      <c r="D153" s="225"/>
      <c r="E153" s="225"/>
      <c r="F153" s="5"/>
      <c r="G153" s="46" t="str">
        <f>IF(G$99="TCJAHistoric","F",IF($G$99="TCJAPessimistic","G",IF($G$99="PostTCJAOptimistic","C",IF(G$99="PostTCJAHistoric","D","E"))))</f>
        <v>F</v>
      </c>
      <c r="H153" s="40"/>
      <c r="N153" s="70"/>
      <c r="O153" s="70"/>
      <c r="P153" s="70"/>
      <c r="Q153" s="151"/>
      <c r="R153" s="151"/>
      <c r="S153" s="70"/>
      <c r="T153" s="70"/>
      <c r="U153" s="70"/>
      <c r="V153" s="70"/>
      <c r="W153" s="12"/>
      <c r="X153" s="12"/>
      <c r="Y153" s="12"/>
      <c r="Z153" s="12"/>
      <c r="AA153" s="12"/>
      <c r="AB153" s="12"/>
      <c r="AC153" s="12"/>
      <c r="AD153" s="12"/>
      <c r="AE153" s="12"/>
      <c r="AF153" s="12"/>
      <c r="AG153" s="12"/>
      <c r="AH153" s="28"/>
      <c r="AI153" s="28"/>
      <c r="AJ153" s="28"/>
      <c r="AK153" s="28"/>
      <c r="AL153" s="28"/>
    </row>
    <row r="154" spans="1:38" x14ac:dyDescent="0.55000000000000004">
      <c r="A154" s="224" t="s">
        <v>104</v>
      </c>
      <c r="B154" s="225"/>
      <c r="C154" s="225"/>
      <c r="D154" s="225"/>
      <c r="E154" s="225"/>
      <c r="F154" s="5"/>
      <c r="G154" s="181">
        <f>G$97*G$89</f>
        <v>7.3999999999999996E-2</v>
      </c>
      <c r="H154" s="40"/>
      <c r="N154" s="70"/>
      <c r="O154" s="70"/>
      <c r="P154" s="70"/>
      <c r="Q154" s="151"/>
      <c r="R154" s="151"/>
      <c r="S154" s="70"/>
      <c r="T154" s="70"/>
      <c r="U154" s="70"/>
      <c r="V154" s="70"/>
      <c r="W154" s="12"/>
      <c r="X154" s="12"/>
      <c r="Y154" s="12"/>
      <c r="Z154" s="12"/>
      <c r="AA154" s="12"/>
      <c r="AB154" s="12"/>
      <c r="AC154" s="12"/>
      <c r="AD154" s="12"/>
      <c r="AE154" s="12"/>
      <c r="AF154" s="12"/>
      <c r="AG154" s="12"/>
      <c r="AH154" s="28"/>
      <c r="AI154" s="28"/>
      <c r="AJ154" s="28"/>
      <c r="AK154" s="28"/>
      <c r="AL154" s="28"/>
    </row>
    <row r="155" spans="1:38" x14ac:dyDescent="0.55000000000000004">
      <c r="A155" s="224" t="s">
        <v>107</v>
      </c>
      <c r="B155" s="225"/>
      <c r="C155" s="225"/>
      <c r="D155" s="225"/>
      <c r="E155" s="225"/>
      <c r="F155" s="5"/>
      <c r="G155" s="46">
        <f>_xlfn.NUMBERVALUE(_xlfn.TEXTBEFORE(G$100,","))</f>
        <v>70</v>
      </c>
      <c r="H155" s="40"/>
      <c r="N155" s="70"/>
      <c r="O155" s="70"/>
      <c r="P155" s="70"/>
      <c r="Q155" s="151"/>
      <c r="R155" s="151"/>
      <c r="S155" s="70"/>
      <c r="T155" s="70"/>
      <c r="U155" s="70"/>
      <c r="V155" s="70"/>
      <c r="W155" s="12"/>
      <c r="X155" s="12"/>
      <c r="Y155" s="12"/>
      <c r="Z155" s="12"/>
      <c r="AA155" s="12"/>
      <c r="AB155" s="12"/>
      <c r="AC155" s="12"/>
      <c r="AD155" s="12"/>
      <c r="AE155" s="12"/>
      <c r="AF155" s="12"/>
      <c r="AG155" s="12"/>
      <c r="AH155" s="28"/>
      <c r="AI155" s="28"/>
      <c r="AJ155" s="28"/>
      <c r="AK155" s="28"/>
      <c r="AL155" s="28"/>
    </row>
    <row r="156" spans="1:38" x14ac:dyDescent="0.55000000000000004">
      <c r="A156" s="224" t="s">
        <v>108</v>
      </c>
      <c r="B156" s="225"/>
      <c r="C156" s="225"/>
      <c r="D156" s="225"/>
      <c r="E156" s="225"/>
      <c r="F156" s="5"/>
      <c r="G156" s="46">
        <f>_xlfn.NUMBERVALUE(_xlfn.TEXTAFTER(G$100,","))</f>
        <v>62</v>
      </c>
      <c r="H156" s="40"/>
      <c r="N156" s="70"/>
      <c r="O156" s="70"/>
      <c r="P156" s="70"/>
      <c r="Q156" s="151"/>
      <c r="R156" s="151"/>
      <c r="S156" s="70"/>
      <c r="T156" s="70"/>
      <c r="U156" s="70"/>
      <c r="V156" s="70"/>
      <c r="W156" s="12"/>
      <c r="X156" s="12"/>
      <c r="Y156" s="12"/>
      <c r="Z156" s="12"/>
      <c r="AA156" s="12"/>
      <c r="AB156" s="12"/>
      <c r="AC156" s="12"/>
      <c r="AD156" s="12"/>
      <c r="AE156" s="12"/>
      <c r="AF156" s="12"/>
      <c r="AG156" s="12"/>
      <c r="AH156" s="28"/>
      <c r="AI156" s="28"/>
      <c r="AJ156" s="28"/>
      <c r="AK156" s="28"/>
      <c r="AL156" s="28"/>
    </row>
    <row r="157" spans="1:38" x14ac:dyDescent="0.55000000000000004">
      <c r="A157" s="224" t="s">
        <v>597</v>
      </c>
      <c r="B157" s="225"/>
      <c r="C157" s="225"/>
      <c r="D157" s="225"/>
      <c r="E157" s="225"/>
      <c r="F157" s="5"/>
      <c r="G157" s="172">
        <f>_xlfn.NUMBERVALUE(_xlfn.TEXTBEFORE(G$93,","))</f>
        <v>7.0000000000000007E-2</v>
      </c>
      <c r="H157" s="40"/>
      <c r="N157" s="70"/>
      <c r="O157" s="70"/>
      <c r="P157" s="70"/>
      <c r="Q157" s="151"/>
      <c r="R157" s="151"/>
      <c r="S157" s="70"/>
      <c r="T157" s="70"/>
      <c r="U157" s="70"/>
      <c r="V157" s="70"/>
      <c r="W157" s="12"/>
      <c r="X157" s="12"/>
      <c r="Y157" s="12"/>
      <c r="Z157" s="12"/>
      <c r="AA157" s="12"/>
      <c r="AB157" s="12"/>
      <c r="AC157" s="12"/>
      <c r="AD157" s="12"/>
      <c r="AE157" s="12"/>
      <c r="AF157" s="12"/>
      <c r="AG157" s="12"/>
      <c r="AH157" s="28"/>
      <c r="AI157" s="28"/>
      <c r="AJ157" s="28"/>
      <c r="AK157" s="28"/>
      <c r="AL157" s="28"/>
    </row>
    <row r="158" spans="1:38" x14ac:dyDescent="0.55000000000000004">
      <c r="A158" s="224" t="s">
        <v>598</v>
      </c>
      <c r="B158" s="225"/>
      <c r="C158" s="225"/>
      <c r="D158" s="225"/>
      <c r="E158" s="225"/>
      <c r="F158" s="5"/>
      <c r="G158" s="172">
        <f>_xlfn.NUMBERVALUE(_xlfn.TEXTAFTER(G$93,","))</f>
        <v>0.09</v>
      </c>
      <c r="H158" s="40"/>
      <c r="N158" s="70"/>
      <c r="O158" s="70"/>
      <c r="P158" s="70"/>
      <c r="Q158" s="151"/>
      <c r="R158" s="151"/>
      <c r="S158" s="70"/>
      <c r="T158" s="70"/>
      <c r="U158" s="70"/>
      <c r="V158" s="70"/>
      <c r="W158" s="12"/>
      <c r="X158" s="12"/>
      <c r="Y158" s="12"/>
      <c r="Z158" s="12"/>
      <c r="AA158" s="12"/>
      <c r="AB158" s="12"/>
      <c r="AC158" s="12"/>
      <c r="AD158" s="12"/>
      <c r="AE158" s="12"/>
      <c r="AF158" s="12"/>
      <c r="AG158" s="12"/>
      <c r="AH158" s="28"/>
      <c r="AI158" s="28"/>
      <c r="AJ158" s="28"/>
      <c r="AK158" s="28"/>
      <c r="AL158" s="28"/>
    </row>
    <row r="159" spans="1:38" x14ac:dyDescent="0.55000000000000004">
      <c r="A159" s="225" t="s">
        <v>673</v>
      </c>
      <c r="B159" s="225"/>
      <c r="C159" s="225"/>
      <c r="D159" s="225"/>
      <c r="E159" s="225"/>
      <c r="F159" s="5"/>
      <c r="G159" s="188">
        <f>IF(G$123&lt;DATEVALUE("1/1/1960"),73,75)</f>
        <v>75</v>
      </c>
      <c r="H159" s="40"/>
      <c r="N159" s="70"/>
      <c r="O159" s="70"/>
      <c r="P159" s="70"/>
      <c r="Q159" s="151"/>
      <c r="R159" s="151"/>
      <c r="S159" s="70"/>
      <c r="T159" s="70"/>
      <c r="U159" s="70"/>
      <c r="V159" s="70"/>
      <c r="W159" s="12"/>
      <c r="X159" s="12"/>
      <c r="Y159" s="12"/>
      <c r="Z159" s="12"/>
      <c r="AA159" s="12"/>
      <c r="AB159" s="12"/>
      <c r="AC159" s="12"/>
      <c r="AD159" s="12"/>
      <c r="AE159" s="12"/>
      <c r="AF159" s="12"/>
      <c r="AG159" s="12"/>
      <c r="AH159" s="28"/>
      <c r="AI159" s="28"/>
      <c r="AJ159" s="28"/>
      <c r="AK159" s="28"/>
      <c r="AL159" s="28"/>
    </row>
    <row r="160" spans="1:38" x14ac:dyDescent="0.55000000000000004">
      <c r="A160" s="225" t="s">
        <v>672</v>
      </c>
      <c r="B160" s="225"/>
      <c r="C160" s="225"/>
      <c r="D160" s="225"/>
      <c r="E160" s="225"/>
      <c r="F160" s="5"/>
      <c r="G160" s="188">
        <f>IF(G$124&lt;DATEVALUE("1/1/1960"),73,75)</f>
        <v>75</v>
      </c>
      <c r="H160" s="40"/>
      <c r="N160" s="70"/>
      <c r="O160" s="70"/>
      <c r="P160" s="70"/>
      <c r="Q160" s="151"/>
      <c r="R160" s="151"/>
      <c r="S160" s="70"/>
      <c r="T160" s="70"/>
      <c r="U160" s="70"/>
      <c r="V160" s="70"/>
      <c r="W160" s="12"/>
      <c r="X160" s="12"/>
      <c r="Y160" s="12"/>
      <c r="Z160" s="12"/>
      <c r="AA160" s="12"/>
      <c r="AB160" s="12"/>
      <c r="AC160" s="12"/>
      <c r="AD160" s="12"/>
      <c r="AE160" s="12"/>
      <c r="AF160" s="12"/>
      <c r="AG160" s="12"/>
      <c r="AH160" s="28"/>
      <c r="AI160" s="28"/>
      <c r="AJ160" s="28"/>
      <c r="AK160" s="28"/>
      <c r="AL160" s="28"/>
    </row>
    <row r="161" spans="1:38" x14ac:dyDescent="0.55000000000000004">
      <c r="A161" s="225"/>
      <c r="B161" s="225"/>
      <c r="C161" s="225"/>
      <c r="D161" s="225"/>
      <c r="E161" s="225"/>
      <c r="F161" s="11"/>
      <c r="N161" s="70"/>
      <c r="O161" s="70"/>
      <c r="P161" s="70"/>
      <c r="Q161" s="151"/>
      <c r="R161" s="151"/>
      <c r="S161" s="70"/>
      <c r="T161" s="70"/>
      <c r="U161" s="70"/>
      <c r="V161" s="70"/>
      <c r="W161" s="12"/>
      <c r="X161" s="12"/>
      <c r="Y161" s="12"/>
      <c r="Z161" s="12"/>
      <c r="AA161" s="12"/>
      <c r="AB161" s="12"/>
      <c r="AC161" s="12"/>
      <c r="AD161" s="12"/>
      <c r="AE161" s="12"/>
      <c r="AF161" s="12"/>
      <c r="AG161" s="12"/>
      <c r="AH161" s="28"/>
      <c r="AI161" s="28"/>
      <c r="AJ161" s="28"/>
      <c r="AK161" s="28"/>
      <c r="AL161" s="28"/>
    </row>
    <row r="162" spans="1:38" x14ac:dyDescent="0.55000000000000004">
      <c r="A162" s="225"/>
      <c r="B162" s="225"/>
      <c r="C162" s="225"/>
      <c r="D162" s="225"/>
      <c r="E162" s="225"/>
      <c r="F162" s="11"/>
      <c r="N162" s="70"/>
      <c r="O162" s="70"/>
      <c r="P162" s="70"/>
      <c r="Q162" s="151"/>
      <c r="R162" s="151"/>
      <c r="S162" s="70"/>
      <c r="T162" s="70"/>
      <c r="U162" s="70"/>
      <c r="V162" s="70"/>
      <c r="W162" s="12"/>
      <c r="X162" s="12"/>
      <c r="Y162" s="12"/>
      <c r="Z162" s="12"/>
      <c r="AA162" s="12"/>
      <c r="AB162" s="12"/>
      <c r="AC162" s="12"/>
      <c r="AD162" s="12"/>
      <c r="AE162" s="12"/>
      <c r="AF162" s="12"/>
      <c r="AG162" s="12"/>
      <c r="AH162" s="28"/>
      <c r="AI162" s="28"/>
      <c r="AJ162" s="28"/>
      <c r="AK162" s="28"/>
      <c r="AL162" s="28"/>
    </row>
    <row r="163" spans="1:38" x14ac:dyDescent="0.55000000000000004">
      <c r="A163" s="174"/>
      <c r="B163" s="174"/>
      <c r="C163" s="174"/>
      <c r="D163" s="174"/>
      <c r="E163" s="174"/>
      <c r="F163" s="11"/>
      <c r="G163" s="195"/>
      <c r="N163" s="70"/>
      <c r="O163" s="70"/>
      <c r="P163" s="70"/>
      <c r="Q163" s="151"/>
      <c r="R163" s="151"/>
      <c r="S163" s="70"/>
      <c r="T163" s="70"/>
      <c r="U163" s="70"/>
      <c r="V163" s="70"/>
      <c r="W163" s="12"/>
      <c r="X163" s="12"/>
      <c r="Y163" s="12"/>
      <c r="Z163" s="12"/>
      <c r="AA163" s="12"/>
      <c r="AB163" s="12"/>
      <c r="AC163" s="12"/>
      <c r="AD163" s="12"/>
      <c r="AE163" s="12"/>
      <c r="AF163" s="12"/>
      <c r="AG163" s="12"/>
      <c r="AH163" s="28"/>
      <c r="AI163" s="28"/>
      <c r="AJ163" s="28"/>
      <c r="AK163" s="28"/>
      <c r="AL163" s="28"/>
    </row>
    <row r="164" spans="1:38" x14ac:dyDescent="0.55000000000000004">
      <c r="A164" s="217" t="s">
        <v>239</v>
      </c>
      <c r="B164" s="217"/>
      <c r="C164" s="217"/>
      <c r="D164" s="217"/>
      <c r="E164" s="217"/>
      <c r="F164" s="132" t="s">
        <v>233</v>
      </c>
      <c r="G164" s="132" t="s">
        <v>234</v>
      </c>
      <c r="H164" s="61"/>
      <c r="Q164" s="151"/>
      <c r="R164" s="151"/>
      <c r="S164" s="70"/>
      <c r="T164" s="70"/>
      <c r="U164" s="70"/>
      <c r="V164" s="70"/>
      <c r="W164" s="12"/>
      <c r="X164" s="12"/>
      <c r="Y164" s="12"/>
      <c r="Z164" s="12"/>
      <c r="AA164" s="12"/>
      <c r="AB164" s="12"/>
      <c r="AC164" s="12"/>
      <c r="AD164" s="12"/>
      <c r="AE164" s="12"/>
      <c r="AF164" s="12"/>
      <c r="AG164" s="12"/>
      <c r="AH164" s="28"/>
      <c r="AI164" s="28"/>
      <c r="AJ164" s="28"/>
      <c r="AK164" s="28"/>
      <c r="AL164" s="28"/>
    </row>
    <row r="165" spans="1:38" x14ac:dyDescent="0.55000000000000004">
      <c r="A165" s="225" t="s">
        <v>272</v>
      </c>
      <c r="B165" s="225"/>
      <c r="C165" s="225"/>
      <c r="D165" s="225"/>
      <c r="E165" s="225"/>
      <c r="F165" s="41" t="s">
        <v>445</v>
      </c>
      <c r="G165" s="41" t="s">
        <v>453</v>
      </c>
      <c r="H165" s="40"/>
      <c r="N165" s="70"/>
      <c r="P165" s="70"/>
      <c r="Q165" s="151"/>
      <c r="R165" s="151"/>
      <c r="S165" s="70"/>
      <c r="T165" s="70"/>
      <c r="U165" s="70"/>
      <c r="V165" s="70"/>
      <c r="W165" s="12"/>
      <c r="X165" s="12"/>
      <c r="Y165" s="12"/>
      <c r="Z165" s="12"/>
      <c r="AA165" s="12"/>
      <c r="AB165" s="12"/>
      <c r="AC165" s="12"/>
      <c r="AD165" s="12"/>
      <c r="AE165" s="12"/>
      <c r="AF165" s="12"/>
      <c r="AG165" s="12"/>
      <c r="AH165" s="28"/>
      <c r="AI165" s="28"/>
      <c r="AJ165" s="28"/>
      <c r="AK165" s="28"/>
      <c r="AL165" s="28"/>
    </row>
    <row r="166" spans="1:38" x14ac:dyDescent="0.55000000000000004">
      <c r="A166" s="224" t="s">
        <v>562</v>
      </c>
      <c r="B166" s="225"/>
      <c r="C166" s="225"/>
      <c r="D166" s="225"/>
      <c r="E166" s="225"/>
      <c r="F166" s="62">
        <v>4400</v>
      </c>
      <c r="G166" s="62">
        <v>2400</v>
      </c>
      <c r="H166" s="40"/>
      <c r="N166" s="70"/>
      <c r="O166" s="70"/>
      <c r="P166" s="70"/>
      <c r="Q166" s="151"/>
      <c r="R166" s="151"/>
      <c r="S166" s="70"/>
      <c r="T166" s="70"/>
      <c r="U166" s="70"/>
      <c r="V166" s="70"/>
      <c r="W166" s="12"/>
      <c r="X166" s="12"/>
      <c r="Y166" s="12"/>
      <c r="Z166" s="12"/>
      <c r="AA166" s="12"/>
      <c r="AB166" s="12"/>
      <c r="AC166" s="12"/>
      <c r="AD166" s="12"/>
      <c r="AE166" s="12"/>
      <c r="AF166" s="12"/>
      <c r="AG166" s="12"/>
      <c r="AH166" s="28"/>
      <c r="AI166" s="28"/>
      <c r="AJ166" s="28"/>
      <c r="AK166" s="28"/>
      <c r="AL166" s="28"/>
    </row>
    <row r="167" spans="1:38" x14ac:dyDescent="0.55000000000000004">
      <c r="A167" s="224" t="s">
        <v>510</v>
      </c>
      <c r="B167" s="225"/>
      <c r="C167" s="225"/>
      <c r="D167" s="225"/>
      <c r="E167" s="225"/>
      <c r="F167" s="62">
        <v>8800</v>
      </c>
      <c r="G167" s="62">
        <v>4800</v>
      </c>
      <c r="H167" s="40"/>
      <c r="N167" s="70"/>
      <c r="O167" s="70"/>
      <c r="P167" s="70"/>
      <c r="Q167" s="151"/>
      <c r="R167" s="151"/>
      <c r="S167" s="70"/>
      <c r="T167" s="70"/>
      <c r="U167" s="70"/>
      <c r="V167" s="70"/>
      <c r="W167" s="12"/>
      <c r="X167" s="12"/>
      <c r="Y167" s="12"/>
      <c r="Z167" s="12"/>
      <c r="AA167" s="12"/>
      <c r="AB167" s="12"/>
      <c r="AC167" s="12"/>
      <c r="AD167" s="12"/>
      <c r="AE167" s="12"/>
      <c r="AF167" s="12"/>
      <c r="AG167" s="12"/>
      <c r="AH167" s="28"/>
      <c r="AI167" s="28"/>
      <c r="AJ167" s="28"/>
      <c r="AK167" s="28"/>
      <c r="AL167" s="28"/>
    </row>
    <row r="168" spans="1:38" x14ac:dyDescent="0.55000000000000004">
      <c r="A168" s="224" t="s">
        <v>512</v>
      </c>
      <c r="B168" s="225"/>
      <c r="C168" s="225"/>
      <c r="D168" s="225"/>
      <c r="E168" s="225"/>
      <c r="F168" s="62">
        <v>700</v>
      </c>
      <c r="G168" s="62">
        <v>0</v>
      </c>
      <c r="H168" s="40"/>
      <c r="N168" s="70"/>
      <c r="O168" s="70"/>
      <c r="P168" s="70"/>
      <c r="Q168" s="151"/>
      <c r="R168" s="151"/>
      <c r="S168" s="70"/>
      <c r="T168" s="70"/>
      <c r="U168" s="70"/>
      <c r="V168" s="70"/>
      <c r="W168" s="12"/>
      <c r="X168" s="12"/>
      <c r="Y168" s="12"/>
      <c r="Z168" s="12"/>
      <c r="AA168" s="12"/>
      <c r="AB168" s="12"/>
      <c r="AC168" s="12"/>
      <c r="AD168" s="12"/>
      <c r="AE168" s="12"/>
      <c r="AF168" s="12"/>
      <c r="AG168" s="12"/>
      <c r="AH168" s="28"/>
      <c r="AI168" s="28"/>
      <c r="AJ168" s="28"/>
      <c r="AK168" s="28"/>
      <c r="AL168" s="28"/>
    </row>
    <row r="169" spans="1:38" x14ac:dyDescent="0.55000000000000004">
      <c r="A169" s="224" t="s">
        <v>511</v>
      </c>
      <c r="B169" s="225"/>
      <c r="C169" s="225"/>
      <c r="D169" s="225"/>
      <c r="E169" s="225"/>
      <c r="F169" s="62">
        <v>0</v>
      </c>
      <c r="G169" s="62">
        <v>0</v>
      </c>
      <c r="H169" s="40"/>
      <c r="N169" s="70"/>
      <c r="O169" s="70"/>
      <c r="P169" s="70"/>
      <c r="Q169" s="151"/>
      <c r="R169" s="151"/>
      <c r="S169" s="70"/>
      <c r="T169" s="70"/>
      <c r="U169" s="70"/>
      <c r="V169" s="70"/>
      <c r="W169" s="12"/>
      <c r="X169" s="12"/>
      <c r="Y169" s="12"/>
      <c r="Z169" s="12"/>
      <c r="AA169" s="12"/>
      <c r="AB169" s="12"/>
      <c r="AC169" s="12"/>
      <c r="AD169" s="12"/>
      <c r="AE169" s="12"/>
      <c r="AF169" s="12"/>
      <c r="AG169" s="12"/>
      <c r="AH169" s="28"/>
      <c r="AI169" s="28"/>
      <c r="AJ169" s="28"/>
      <c r="AK169" s="28"/>
      <c r="AL169" s="28"/>
    </row>
    <row r="170" spans="1:38" x14ac:dyDescent="0.55000000000000004">
      <c r="A170" s="224" t="s">
        <v>240</v>
      </c>
      <c r="B170" s="225"/>
      <c r="C170" s="225"/>
      <c r="D170" s="225"/>
      <c r="E170" s="225"/>
      <c r="F170" s="62" t="b">
        <v>1</v>
      </c>
      <c r="G170" s="62" t="b">
        <v>0</v>
      </c>
      <c r="H170" s="40"/>
      <c r="N170" s="70"/>
      <c r="O170" s="70"/>
      <c r="P170" s="70"/>
      <c r="Q170" s="151"/>
      <c r="R170" s="151"/>
      <c r="S170" s="70"/>
      <c r="T170" s="70"/>
      <c r="U170" s="70"/>
      <c r="V170" s="70"/>
      <c r="W170" s="12"/>
      <c r="X170" s="12"/>
      <c r="Y170" s="12"/>
      <c r="Z170" s="12"/>
      <c r="AA170" s="12"/>
      <c r="AB170" s="12"/>
      <c r="AC170" s="12"/>
      <c r="AD170" s="12"/>
      <c r="AE170" s="12"/>
      <c r="AF170" s="12"/>
      <c r="AG170" s="12"/>
      <c r="AH170" s="28"/>
      <c r="AI170" s="28"/>
      <c r="AJ170" s="28"/>
      <c r="AK170" s="28"/>
      <c r="AL170" s="28"/>
    </row>
    <row r="171" spans="1:38" x14ac:dyDescent="0.55000000000000004">
      <c r="A171" s="224" t="s">
        <v>493</v>
      </c>
      <c r="B171" s="225"/>
      <c r="C171" s="225"/>
      <c r="D171" s="225"/>
      <c r="E171" s="225"/>
      <c r="F171" s="62" t="b">
        <v>1</v>
      </c>
      <c r="G171" s="62" t="b">
        <v>0</v>
      </c>
      <c r="H171" s="40"/>
      <c r="N171" s="70"/>
      <c r="O171" s="70"/>
      <c r="P171" s="70"/>
      <c r="Q171" s="151"/>
      <c r="R171" s="151"/>
      <c r="S171" s="70"/>
      <c r="T171" s="70"/>
      <c r="U171" s="70"/>
      <c r="V171" s="70"/>
      <c r="W171" s="12"/>
      <c r="X171" s="12"/>
      <c r="Y171" s="12"/>
      <c r="Z171" s="12"/>
      <c r="AA171" s="12"/>
      <c r="AB171" s="12"/>
      <c r="AC171" s="12"/>
      <c r="AD171" s="12"/>
      <c r="AE171" s="12"/>
      <c r="AF171" s="12"/>
      <c r="AG171" s="12"/>
      <c r="AH171" s="28"/>
      <c r="AI171" s="28"/>
      <c r="AJ171" s="28"/>
      <c r="AK171" s="28"/>
      <c r="AL171" s="28"/>
    </row>
    <row r="172" spans="1:38" x14ac:dyDescent="0.55000000000000004">
      <c r="A172" s="224" t="s">
        <v>241</v>
      </c>
      <c r="B172" s="225"/>
      <c r="C172" s="225"/>
      <c r="D172" s="225"/>
      <c r="E172" s="225"/>
      <c r="F172" s="62" t="b">
        <v>1</v>
      </c>
      <c r="G172" s="62" t="b">
        <v>0</v>
      </c>
      <c r="H172" s="40"/>
      <c r="N172" s="70"/>
      <c r="O172" s="70"/>
      <c r="P172" s="70"/>
      <c r="Q172" s="151"/>
      <c r="R172" s="151"/>
      <c r="S172" s="70"/>
      <c r="T172" s="70"/>
      <c r="U172" s="70"/>
      <c r="V172" s="70"/>
      <c r="W172" s="12"/>
      <c r="X172" s="12"/>
      <c r="Y172" s="12"/>
      <c r="Z172" s="12"/>
      <c r="AA172" s="12"/>
      <c r="AB172" s="12"/>
      <c r="AC172" s="12"/>
      <c r="AD172" s="12"/>
      <c r="AE172" s="12"/>
      <c r="AF172" s="12"/>
      <c r="AG172" s="12"/>
      <c r="AH172" s="28"/>
      <c r="AI172" s="28"/>
      <c r="AJ172" s="28"/>
      <c r="AK172" s="28"/>
      <c r="AL172" s="28"/>
    </row>
    <row r="173" spans="1:38" x14ac:dyDescent="0.55000000000000004">
      <c r="A173" s="224" t="s">
        <v>513</v>
      </c>
      <c r="B173" s="225"/>
      <c r="C173" s="225"/>
      <c r="D173" s="225"/>
      <c r="E173" s="225"/>
      <c r="F173" s="133">
        <v>0</v>
      </c>
      <c r="G173" s="134" t="b">
        <v>0</v>
      </c>
      <c r="H173" s="40"/>
      <c r="N173" s="70"/>
      <c r="O173" s="70"/>
      <c r="P173" s="70"/>
      <c r="Q173" s="151"/>
      <c r="R173" s="151"/>
      <c r="S173" s="70"/>
      <c r="T173" s="70"/>
      <c r="U173" s="70"/>
      <c r="V173" s="70"/>
      <c r="W173" s="12"/>
      <c r="X173" s="12"/>
      <c r="Y173" s="12"/>
      <c r="Z173" s="12"/>
      <c r="AA173" s="12"/>
      <c r="AB173" s="12"/>
      <c r="AC173" s="12"/>
      <c r="AD173" s="12"/>
      <c r="AE173" s="12"/>
      <c r="AF173" s="12"/>
      <c r="AG173" s="12"/>
      <c r="AH173" s="28"/>
      <c r="AI173" s="28"/>
      <c r="AJ173" s="28"/>
      <c r="AK173" s="28"/>
      <c r="AL173" s="28"/>
    </row>
    <row r="174" spans="1:38" x14ac:dyDescent="0.55000000000000004">
      <c r="A174" s="224" t="s">
        <v>236</v>
      </c>
      <c r="B174" s="225"/>
      <c r="C174" s="225"/>
      <c r="D174" s="225"/>
      <c r="E174" s="225"/>
      <c r="F174" s="62" t="b">
        <v>1</v>
      </c>
      <c r="G174" s="62" t="b">
        <v>1</v>
      </c>
      <c r="H174" s="40"/>
      <c r="N174" s="70"/>
      <c r="O174" s="70"/>
      <c r="P174" s="70"/>
      <c r="Q174" s="151"/>
      <c r="R174" s="151"/>
      <c r="S174" s="70"/>
      <c r="T174" s="70"/>
      <c r="U174" s="70"/>
      <c r="V174" s="70"/>
      <c r="W174" s="12"/>
      <c r="X174" s="12"/>
      <c r="Y174" s="12"/>
      <c r="Z174" s="12"/>
      <c r="AA174" s="12"/>
      <c r="AB174" s="12"/>
      <c r="AC174" s="12"/>
      <c r="AD174" s="12"/>
      <c r="AE174" s="12"/>
      <c r="AF174" s="12"/>
      <c r="AG174" s="12"/>
      <c r="AH174" s="140"/>
      <c r="AI174" s="140"/>
      <c r="AJ174" s="140"/>
      <c r="AK174" s="140"/>
      <c r="AL174" s="140"/>
    </row>
    <row r="175" spans="1:38" x14ac:dyDescent="0.55000000000000004">
      <c r="A175" s="224" t="s">
        <v>237</v>
      </c>
      <c r="B175" s="225"/>
      <c r="C175" s="225"/>
      <c r="D175" s="225"/>
      <c r="E175" s="225"/>
      <c r="F175" s="62" t="b">
        <v>1</v>
      </c>
      <c r="G175" s="62" t="b">
        <v>0</v>
      </c>
      <c r="H175" s="40"/>
      <c r="N175" s="70"/>
      <c r="O175" s="70"/>
      <c r="P175" s="70"/>
      <c r="Q175" s="151"/>
      <c r="R175" s="151"/>
      <c r="S175" s="70"/>
      <c r="T175" s="70"/>
      <c r="U175" s="70"/>
      <c r="V175" s="70"/>
      <c r="W175" s="12"/>
      <c r="X175" s="12"/>
      <c r="Y175" s="12"/>
      <c r="Z175" s="12"/>
      <c r="AA175" s="12"/>
      <c r="AB175" s="12"/>
      <c r="AC175" s="12"/>
      <c r="AD175" s="12"/>
      <c r="AE175" s="12"/>
      <c r="AF175" s="12"/>
      <c r="AG175" s="12"/>
      <c r="AH175" s="140"/>
      <c r="AI175" s="140"/>
      <c r="AJ175" s="140"/>
      <c r="AK175" s="140"/>
      <c r="AL175" s="140"/>
    </row>
    <row r="176" spans="1:38" x14ac:dyDescent="0.55000000000000004">
      <c r="A176" s="224" t="s">
        <v>238</v>
      </c>
      <c r="B176" s="225"/>
      <c r="C176" s="225"/>
      <c r="D176" s="225"/>
      <c r="E176" s="225"/>
      <c r="F176" s="62" t="b">
        <v>0</v>
      </c>
      <c r="G176" s="62" t="b">
        <v>0</v>
      </c>
      <c r="H176" s="40"/>
      <c r="N176" s="70"/>
      <c r="O176" s="70"/>
      <c r="P176" s="70"/>
      <c r="Q176" s="151"/>
      <c r="R176" s="151"/>
      <c r="S176" s="70"/>
      <c r="T176" s="70"/>
      <c r="U176" s="70"/>
      <c r="V176" s="70"/>
      <c r="W176" s="12"/>
      <c r="X176" s="12"/>
      <c r="Y176" s="12"/>
      <c r="Z176" s="12"/>
      <c r="AA176" s="12"/>
      <c r="AB176" s="12"/>
      <c r="AC176" s="12"/>
      <c r="AD176" s="12"/>
      <c r="AE176" s="12"/>
      <c r="AF176" s="12"/>
      <c r="AG176" s="12"/>
      <c r="AH176" s="140"/>
      <c r="AI176" s="140"/>
      <c r="AJ176" s="140"/>
      <c r="AK176" s="140"/>
      <c r="AL176" s="140"/>
    </row>
    <row r="177" spans="1:39" x14ac:dyDescent="0.55000000000000004">
      <c r="A177" s="13"/>
      <c r="B177" s="13"/>
      <c r="C177" s="13"/>
      <c r="D177" s="58"/>
      <c r="E177" s="58"/>
      <c r="F177" s="58"/>
      <c r="G177" s="58"/>
      <c r="H177" s="13"/>
      <c r="I177" s="55"/>
      <c r="P177" s="28"/>
      <c r="Q177" s="150"/>
      <c r="R177" s="150"/>
      <c r="S177" s="28"/>
      <c r="T177" s="12"/>
      <c r="U177" s="12"/>
      <c r="V177" s="12"/>
      <c r="W177" s="12"/>
      <c r="X177" s="12"/>
      <c r="Y177" s="12"/>
      <c r="Z177" s="12"/>
      <c r="AA177" s="12"/>
      <c r="AB177" s="12"/>
      <c r="AC177" s="12"/>
      <c r="AD177" s="12"/>
      <c r="AE177" s="12"/>
      <c r="AF177" s="12"/>
      <c r="AG177" s="12"/>
      <c r="AH177" s="140"/>
      <c r="AI177" s="140"/>
      <c r="AJ177" s="140"/>
      <c r="AK177" s="140"/>
      <c r="AL177" s="140"/>
    </row>
    <row r="178" spans="1:39" x14ac:dyDescent="0.55000000000000004">
      <c r="D178" s="216" t="s">
        <v>671</v>
      </c>
      <c r="E178" s="217"/>
      <c r="F178" s="217"/>
      <c r="G178" s="218"/>
      <c r="H178" s="61"/>
      <c r="J178" s="28"/>
      <c r="K178" s="28"/>
      <c r="L178" s="28"/>
      <c r="M178" s="28"/>
      <c r="N178" s="28"/>
      <c r="O178" s="28"/>
      <c r="P178" s="28"/>
      <c r="Q178" s="152"/>
      <c r="R178" s="152"/>
      <c r="T178" s="226"/>
      <c r="U178" s="226"/>
      <c r="V178" s="226"/>
      <c r="W178" s="28"/>
      <c r="X178" s="28"/>
      <c r="Y178" s="28"/>
      <c r="Z178" s="28"/>
      <c r="AA178" s="28"/>
      <c r="AB178" s="28"/>
      <c r="AC178" s="28"/>
      <c r="AD178" s="28"/>
      <c r="AE178" s="28"/>
    </row>
    <row r="179" spans="1:39" x14ac:dyDescent="0.55000000000000004">
      <c r="D179" s="44" t="s">
        <v>766</v>
      </c>
      <c r="E179" s="14"/>
      <c r="F179" s="216" t="s">
        <v>83</v>
      </c>
      <c r="G179" s="218"/>
      <c r="H179" s="61"/>
      <c r="I179" s="28"/>
      <c r="J179" s="28"/>
      <c r="K179" s="28"/>
      <c r="L179" s="28"/>
      <c r="M179" s="28"/>
      <c r="N179" s="28"/>
      <c r="O179" s="227"/>
      <c r="P179" s="227"/>
      <c r="Q179" s="152"/>
      <c r="R179" s="152"/>
      <c r="S179" s="28"/>
      <c r="T179" s="28"/>
      <c r="U179" s="28"/>
      <c r="V179" s="28"/>
      <c r="AG179" s="12"/>
      <c r="AH179" s="140"/>
      <c r="AI179" s="140"/>
      <c r="AJ179" s="140"/>
      <c r="AK179" s="140"/>
      <c r="AL179" s="140"/>
      <c r="AM179" s="12"/>
    </row>
    <row r="180" spans="1:39" x14ac:dyDescent="0.55000000000000004">
      <c r="D180" s="17" t="s">
        <v>29</v>
      </c>
      <c r="E180" s="17" t="s">
        <v>28</v>
      </c>
      <c r="F180" s="17" t="s">
        <v>7</v>
      </c>
      <c r="G180" s="4" t="s">
        <v>211</v>
      </c>
      <c r="H180" s="71"/>
      <c r="J180" s="47"/>
      <c r="K180" s="47"/>
      <c r="L180" s="47"/>
      <c r="M180" s="47"/>
      <c r="N180" s="47"/>
      <c r="O180" s="47"/>
      <c r="P180" s="47"/>
      <c r="Q180" s="153"/>
      <c r="R180" s="153"/>
      <c r="T180" s="222"/>
      <c r="U180" s="222"/>
      <c r="V180" s="222"/>
      <c r="AG180" s="47"/>
      <c r="AH180" s="168"/>
      <c r="AI180" s="168"/>
      <c r="AJ180" s="168"/>
      <c r="AK180" s="168"/>
      <c r="AL180" s="168"/>
    </row>
    <row r="181" spans="1:39" x14ac:dyDescent="0.55000000000000004">
      <c r="D181" s="4">
        <v>11600</v>
      </c>
      <c r="E181" s="4">
        <v>23200</v>
      </c>
      <c r="F181" s="37">
        <v>0.1</v>
      </c>
      <c r="G181" s="37">
        <v>0.1</v>
      </c>
      <c r="H181" s="72"/>
      <c r="J181" s="45"/>
      <c r="K181" s="45"/>
      <c r="L181" s="45"/>
      <c r="M181" s="45"/>
      <c r="N181" s="45"/>
      <c r="O181" s="45"/>
      <c r="P181" s="45"/>
      <c r="T181" s="222"/>
      <c r="U181" s="222"/>
      <c r="V181" s="222"/>
      <c r="AG181" s="8"/>
      <c r="AM181" s="8"/>
    </row>
    <row r="182" spans="1:39" x14ac:dyDescent="0.55000000000000004">
      <c r="D182" s="4">
        <v>47150</v>
      </c>
      <c r="E182" s="4">
        <v>94300</v>
      </c>
      <c r="F182" s="37">
        <v>0.12</v>
      </c>
      <c r="G182" s="37">
        <v>0.12</v>
      </c>
      <c r="H182" s="72"/>
      <c r="J182" s="45"/>
      <c r="K182" s="45"/>
      <c r="L182" s="45"/>
      <c r="M182" s="45"/>
      <c r="N182" s="45"/>
      <c r="O182" s="45"/>
      <c r="P182" s="45"/>
      <c r="T182" s="222"/>
      <c r="U182" s="222"/>
      <c r="V182" s="222"/>
      <c r="AG182" s="8"/>
      <c r="AM182" s="8"/>
    </row>
    <row r="183" spans="1:39" x14ac:dyDescent="0.55000000000000004">
      <c r="D183" s="4">
        <v>100525</v>
      </c>
      <c r="E183" s="4">
        <v>201050</v>
      </c>
      <c r="F183" s="37">
        <v>0.22</v>
      </c>
      <c r="G183" s="37">
        <v>0.22</v>
      </c>
      <c r="H183" s="72"/>
      <c r="J183" s="45"/>
      <c r="K183" s="45"/>
      <c r="L183" s="45"/>
      <c r="M183" s="45"/>
      <c r="N183" s="45"/>
      <c r="O183" s="45"/>
      <c r="P183" s="45"/>
      <c r="T183" s="222"/>
      <c r="U183" s="222"/>
      <c r="V183" s="222"/>
      <c r="AG183" s="8"/>
      <c r="AM183" s="8"/>
    </row>
    <row r="184" spans="1:39" x14ac:dyDescent="0.55000000000000004">
      <c r="D184" s="4">
        <v>191950</v>
      </c>
      <c r="E184" s="4">
        <v>383900</v>
      </c>
      <c r="F184" s="37">
        <v>0.24</v>
      </c>
      <c r="G184" s="37">
        <v>0.24</v>
      </c>
      <c r="H184" s="72"/>
      <c r="J184" s="45"/>
      <c r="K184" s="45"/>
      <c r="L184" s="45"/>
      <c r="M184" s="45"/>
      <c r="N184" s="45"/>
      <c r="O184" s="45"/>
      <c r="P184" s="45"/>
      <c r="T184" s="222"/>
      <c r="U184" s="222"/>
      <c r="V184" s="222"/>
      <c r="AG184" s="8"/>
      <c r="AM184" s="8"/>
    </row>
    <row r="185" spans="1:39" x14ac:dyDescent="0.55000000000000004">
      <c r="D185" s="4">
        <v>243725</v>
      </c>
      <c r="E185" s="4">
        <v>487450</v>
      </c>
      <c r="F185" s="37">
        <v>0.32</v>
      </c>
      <c r="G185" s="37">
        <v>0.32</v>
      </c>
      <c r="H185" s="72"/>
      <c r="J185" s="45"/>
      <c r="K185" s="45"/>
      <c r="L185" s="45"/>
      <c r="M185" s="45"/>
      <c r="N185" s="45"/>
      <c r="O185" s="45"/>
      <c r="P185" s="45"/>
      <c r="T185" s="222"/>
      <c r="U185" s="222"/>
      <c r="V185" s="222"/>
      <c r="AG185" s="8"/>
      <c r="AM185" s="8"/>
    </row>
    <row r="186" spans="1:39" x14ac:dyDescent="0.55000000000000004">
      <c r="D186" s="4">
        <v>609350</v>
      </c>
      <c r="E186" s="4">
        <v>731200</v>
      </c>
      <c r="F186" s="38">
        <v>0.35</v>
      </c>
      <c r="G186" s="37">
        <v>0.35</v>
      </c>
      <c r="H186" s="72"/>
      <c r="J186" s="45"/>
      <c r="K186" s="45"/>
      <c r="L186" s="45"/>
      <c r="M186" s="45"/>
      <c r="N186" s="45"/>
      <c r="O186" s="45"/>
      <c r="P186" s="45"/>
      <c r="T186" s="13"/>
      <c r="U186" s="13"/>
      <c r="V186" s="13"/>
      <c r="AG186" s="8"/>
      <c r="AM186" s="8"/>
    </row>
    <row r="187" spans="1:39" x14ac:dyDescent="0.55000000000000004">
      <c r="F187" s="37">
        <v>0.37</v>
      </c>
      <c r="G187" s="37" cm="1">
        <f t="array" aca="1" ref="G187" ca="1">INDIRECT($G$153&amp;ROW()+11)</f>
        <v>0</v>
      </c>
      <c r="H187" s="72"/>
      <c r="J187" s="45"/>
      <c r="K187" s="45"/>
      <c r="L187" s="45"/>
      <c r="M187" s="45"/>
      <c r="N187" s="45"/>
      <c r="O187" s="45"/>
      <c r="P187" s="45"/>
      <c r="T187" s="222"/>
      <c r="U187" s="222"/>
      <c r="V187" s="222"/>
      <c r="AG187" s="8"/>
      <c r="AM187" s="8"/>
    </row>
    <row r="188" spans="1:39" x14ac:dyDescent="0.55000000000000004">
      <c r="T188" s="222"/>
      <c r="U188" s="222"/>
      <c r="V188" s="222"/>
      <c r="AG188" s="8"/>
      <c r="AM188" s="8"/>
    </row>
    <row r="189" spans="1:39" x14ac:dyDescent="0.55000000000000004">
      <c r="C189" s="223" t="s">
        <v>82</v>
      </c>
      <c r="D189" s="223"/>
      <c r="E189" s="223"/>
      <c r="F189" s="223"/>
      <c r="G189" s="223"/>
      <c r="H189" s="28"/>
      <c r="T189" s="13"/>
      <c r="U189" s="13"/>
      <c r="V189" s="13"/>
      <c r="AG189" s="8"/>
      <c r="AM189" s="8"/>
    </row>
    <row r="190" spans="1:39" x14ac:dyDescent="0.55000000000000004">
      <c r="C190" s="223" t="s">
        <v>76</v>
      </c>
      <c r="D190" s="219"/>
      <c r="E190" s="219"/>
      <c r="F190" s="223" t="s">
        <v>95</v>
      </c>
      <c r="G190" s="223"/>
      <c r="H190" s="28"/>
      <c r="T190" s="13"/>
      <c r="U190" s="13"/>
      <c r="V190" s="13"/>
      <c r="AG190" s="8"/>
      <c r="AM190" s="8"/>
    </row>
    <row r="191" spans="1:39" x14ac:dyDescent="0.55000000000000004">
      <c r="C191" s="17" t="s">
        <v>727</v>
      </c>
      <c r="D191" s="17" t="s">
        <v>77</v>
      </c>
      <c r="E191" s="17" t="s">
        <v>78</v>
      </c>
      <c r="F191" s="17" t="s">
        <v>77</v>
      </c>
      <c r="G191" s="17" t="s">
        <v>78</v>
      </c>
      <c r="T191" s="13"/>
      <c r="U191" s="13"/>
      <c r="V191" s="13"/>
      <c r="AG191" s="8"/>
      <c r="AM191" s="8"/>
    </row>
    <row r="192" spans="1:39" x14ac:dyDescent="0.55000000000000004">
      <c r="C192" s="37">
        <v>0.1</v>
      </c>
      <c r="D192" s="37">
        <v>0.1</v>
      </c>
      <c r="E192" s="37">
        <v>0.1</v>
      </c>
      <c r="F192" s="37">
        <v>0.1</v>
      </c>
      <c r="G192" s="37">
        <v>0.1</v>
      </c>
      <c r="T192" s="13"/>
      <c r="U192" s="13"/>
      <c r="V192" s="13"/>
      <c r="AG192" s="8"/>
      <c r="AM192" s="8"/>
    </row>
    <row r="193" spans="3:39" x14ac:dyDescent="0.55000000000000004">
      <c r="C193" s="37">
        <v>0.12</v>
      </c>
      <c r="D193" s="37">
        <v>0.15</v>
      </c>
      <c r="E193" s="37">
        <v>0.17</v>
      </c>
      <c r="F193" s="37">
        <v>0.12</v>
      </c>
      <c r="G193" s="37">
        <v>0.15</v>
      </c>
      <c r="T193" s="13"/>
      <c r="U193" s="13"/>
      <c r="V193" s="13"/>
      <c r="AG193" s="8"/>
      <c r="AM193" s="8"/>
    </row>
    <row r="194" spans="3:39" x14ac:dyDescent="0.55000000000000004">
      <c r="C194" s="37">
        <v>0.22</v>
      </c>
      <c r="D194" s="37">
        <v>0.25</v>
      </c>
      <c r="E194" s="37">
        <v>0.27</v>
      </c>
      <c r="F194" s="37">
        <v>0.22</v>
      </c>
      <c r="G194" s="37">
        <v>0.25</v>
      </c>
      <c r="T194" s="13"/>
      <c r="U194" s="13"/>
      <c r="V194" s="13"/>
      <c r="AG194" s="8"/>
      <c r="AM194" s="8"/>
    </row>
    <row r="195" spans="3:39" x14ac:dyDescent="0.55000000000000004">
      <c r="C195" s="37">
        <v>0.24</v>
      </c>
      <c r="D195" s="37">
        <v>0.28000000000000003</v>
      </c>
      <c r="E195" s="37">
        <v>0.3</v>
      </c>
      <c r="F195" s="37">
        <v>0.24</v>
      </c>
      <c r="G195" s="37">
        <v>0.28000000000000003</v>
      </c>
      <c r="T195" s="13"/>
      <c r="U195" s="13"/>
      <c r="V195" s="13"/>
      <c r="AG195" s="8"/>
      <c r="AM195" s="8"/>
    </row>
    <row r="196" spans="3:39" x14ac:dyDescent="0.55000000000000004">
      <c r="C196" s="37">
        <v>0.32</v>
      </c>
      <c r="D196" s="37">
        <v>0.33</v>
      </c>
      <c r="E196" s="37">
        <v>0.35</v>
      </c>
      <c r="F196" s="37">
        <v>0.32</v>
      </c>
      <c r="G196" s="37">
        <v>0.33</v>
      </c>
      <c r="T196" s="13"/>
      <c r="U196" s="13"/>
      <c r="V196" s="13"/>
      <c r="AG196" s="8"/>
      <c r="AM196" s="8"/>
    </row>
    <row r="197" spans="3:39" x14ac:dyDescent="0.55000000000000004">
      <c r="C197" s="37">
        <v>0.35</v>
      </c>
      <c r="D197" s="37">
        <v>0.35</v>
      </c>
      <c r="E197" s="37">
        <v>0.37</v>
      </c>
      <c r="F197" s="37">
        <v>0.35</v>
      </c>
      <c r="G197" s="37">
        <v>0.35</v>
      </c>
      <c r="T197" s="13"/>
      <c r="U197" s="13"/>
      <c r="V197" s="13"/>
      <c r="AG197" s="8"/>
      <c r="AM197" s="8"/>
    </row>
    <row r="198" spans="3:39" x14ac:dyDescent="0.55000000000000004">
      <c r="T198" s="222"/>
      <c r="U198" s="222"/>
      <c r="V198" s="222"/>
      <c r="AG198" s="8"/>
      <c r="AM198" s="8"/>
    </row>
    <row r="199" spans="3:39" x14ac:dyDescent="0.55000000000000004">
      <c r="D199" s="216" t="s">
        <v>35</v>
      </c>
      <c r="E199" s="217"/>
      <c r="F199" s="217"/>
      <c r="G199" s="217"/>
      <c r="H199" s="61"/>
      <c r="T199" s="222"/>
      <c r="U199" s="222"/>
      <c r="V199" s="222"/>
      <c r="AG199" s="54"/>
    </row>
    <row r="200" spans="3:39" x14ac:dyDescent="0.55000000000000004">
      <c r="D200" s="4">
        <v>103000</v>
      </c>
      <c r="E200" s="4">
        <v>206000</v>
      </c>
      <c r="F200" s="4">
        <v>1</v>
      </c>
      <c r="G200" s="31">
        <v>0</v>
      </c>
      <c r="T200" s="222"/>
      <c r="U200" s="222"/>
      <c r="V200" s="222"/>
      <c r="AG200" s="54"/>
    </row>
    <row r="201" spans="3:39" x14ac:dyDescent="0.55000000000000004">
      <c r="D201" s="4">
        <v>129000</v>
      </c>
      <c r="E201" s="4">
        <v>258000</v>
      </c>
      <c r="F201" s="4">
        <v>1.4</v>
      </c>
      <c r="G201" s="31">
        <v>12.9</v>
      </c>
      <c r="P201" s="43"/>
      <c r="S201" s="40"/>
      <c r="T201" s="222"/>
      <c r="U201" s="222"/>
      <c r="V201" s="222"/>
      <c r="AG201" s="54"/>
    </row>
    <row r="202" spans="3:39" x14ac:dyDescent="0.55000000000000004">
      <c r="D202" s="4">
        <v>161000</v>
      </c>
      <c r="E202" s="4">
        <v>322000</v>
      </c>
      <c r="F202" s="4">
        <v>2</v>
      </c>
      <c r="G202" s="31">
        <v>33.299999999999997</v>
      </c>
    </row>
    <row r="203" spans="3:39" x14ac:dyDescent="0.55000000000000004">
      <c r="D203" s="4">
        <v>193000</v>
      </c>
      <c r="E203" s="4">
        <v>386000</v>
      </c>
      <c r="F203" s="4">
        <v>2.6</v>
      </c>
      <c r="G203" s="31">
        <v>53.8</v>
      </c>
    </row>
    <row r="204" spans="3:39" x14ac:dyDescent="0.55000000000000004">
      <c r="D204" s="4">
        <v>500000</v>
      </c>
      <c r="E204" s="4">
        <v>750000</v>
      </c>
      <c r="F204" s="4">
        <v>3.2</v>
      </c>
      <c r="G204" s="31">
        <v>74.2</v>
      </c>
    </row>
    <row r="205" spans="3:39" x14ac:dyDescent="0.55000000000000004">
      <c r="F205" s="4">
        <v>3.4</v>
      </c>
      <c r="G205" s="31">
        <v>81</v>
      </c>
    </row>
    <row r="206" spans="3:39" x14ac:dyDescent="0.55000000000000004">
      <c r="H206" s="50"/>
    </row>
    <row r="207" spans="3:39" x14ac:dyDescent="0.55000000000000004">
      <c r="D207" s="216" t="s">
        <v>767</v>
      </c>
      <c r="E207" s="217"/>
      <c r="F207" s="217"/>
      <c r="G207" s="218"/>
      <c r="H207" s="61"/>
    </row>
    <row r="208" spans="3:39" x14ac:dyDescent="0.55000000000000004">
      <c r="D208" s="219" t="s">
        <v>105</v>
      </c>
      <c r="E208" s="219"/>
      <c r="F208" s="220" t="s">
        <v>106</v>
      </c>
      <c r="G208" s="221"/>
      <c r="H208" s="40"/>
    </row>
    <row r="209" spans="4:7" x14ac:dyDescent="0.55000000000000004">
      <c r="D209" s="4">
        <v>62</v>
      </c>
      <c r="E209" s="51">
        <v>1342.6666666666667</v>
      </c>
      <c r="F209" s="4">
        <v>62</v>
      </c>
      <c r="G209" s="51">
        <v>886.90000000000009</v>
      </c>
    </row>
    <row r="210" spans="4:7" x14ac:dyDescent="0.55000000000000004">
      <c r="D210" s="4">
        <v>63</v>
      </c>
      <c r="E210" s="51">
        <v>1431.3333333333333</v>
      </c>
      <c r="F210" s="4">
        <v>63</v>
      </c>
      <c r="G210" s="51">
        <v>950.25</v>
      </c>
    </row>
    <row r="211" spans="4:7" x14ac:dyDescent="0.55000000000000004">
      <c r="D211" s="4">
        <v>64</v>
      </c>
      <c r="E211" s="51">
        <v>1520</v>
      </c>
      <c r="F211" s="4">
        <v>64</v>
      </c>
      <c r="G211" s="51">
        <v>1013.6</v>
      </c>
    </row>
    <row r="212" spans="4:7" x14ac:dyDescent="0.55000000000000004">
      <c r="D212" s="4">
        <v>65</v>
      </c>
      <c r="E212" s="51">
        <v>1646.6666666666667</v>
      </c>
      <c r="F212" s="4">
        <v>65</v>
      </c>
      <c r="G212" s="51">
        <v>1098.0666666666666</v>
      </c>
    </row>
    <row r="213" spans="4:7" x14ac:dyDescent="0.55000000000000004">
      <c r="D213" s="4">
        <v>66</v>
      </c>
      <c r="E213" s="51">
        <v>1773.3333333333333</v>
      </c>
      <c r="F213" s="4">
        <v>66</v>
      </c>
      <c r="G213" s="51">
        <v>1182.5333333333333</v>
      </c>
    </row>
    <row r="214" spans="4:7" x14ac:dyDescent="0.55000000000000004">
      <c r="D214" s="4">
        <v>67</v>
      </c>
      <c r="E214" s="51">
        <v>1900</v>
      </c>
      <c r="F214" s="4">
        <v>67</v>
      </c>
      <c r="G214" s="51">
        <v>1267</v>
      </c>
    </row>
    <row r="215" spans="4:7" x14ac:dyDescent="0.55000000000000004">
      <c r="D215" s="4">
        <v>68</v>
      </c>
      <c r="E215" s="51">
        <v>2052</v>
      </c>
      <c r="F215" s="4">
        <v>68</v>
      </c>
      <c r="G215" s="51">
        <v>1368.3600000000001</v>
      </c>
    </row>
    <row r="216" spans="4:7" x14ac:dyDescent="0.55000000000000004">
      <c r="D216" s="4">
        <v>69</v>
      </c>
      <c r="E216" s="51">
        <v>2204</v>
      </c>
      <c r="F216" s="4">
        <v>69</v>
      </c>
      <c r="G216" s="51">
        <v>1469.7199999999998</v>
      </c>
    </row>
    <row r="217" spans="4:7" x14ac:dyDescent="0.55000000000000004">
      <c r="D217" s="4">
        <v>70</v>
      </c>
      <c r="E217" s="202">
        <v>2356</v>
      </c>
      <c r="F217" s="4">
        <v>70</v>
      </c>
      <c r="G217" s="51">
        <v>1571.08</v>
      </c>
    </row>
    <row r="219" spans="4:7" x14ac:dyDescent="0.55000000000000004">
      <c r="D219" s="219" t="s">
        <v>768</v>
      </c>
      <c r="E219" s="219"/>
      <c r="F219" s="219"/>
      <c r="G219" s="219"/>
    </row>
    <row r="220" spans="4:7" x14ac:dyDescent="0.55000000000000004">
      <c r="D220" s="4" t="s">
        <v>216</v>
      </c>
      <c r="E220" s="4" t="s">
        <v>217</v>
      </c>
      <c r="F220" s="4" t="s">
        <v>218</v>
      </c>
      <c r="G220" s="4" t="s">
        <v>219</v>
      </c>
    </row>
    <row r="221" spans="4:7" x14ac:dyDescent="0.55000000000000004">
      <c r="D221" s="51">
        <v>0</v>
      </c>
      <c r="E221" s="37">
        <v>0.05</v>
      </c>
      <c r="F221" s="51">
        <v>0</v>
      </c>
      <c r="G221" s="37">
        <v>0.05</v>
      </c>
    </row>
    <row r="222" spans="4:7" x14ac:dyDescent="0.55000000000000004">
      <c r="D222" s="51">
        <v>1000000</v>
      </c>
      <c r="E222" s="37">
        <v>0.09</v>
      </c>
      <c r="F222" s="51">
        <v>1000000</v>
      </c>
      <c r="G222" s="37">
        <v>0.09</v>
      </c>
    </row>
    <row r="223" spans="4:7" x14ac:dyDescent="0.55000000000000004">
      <c r="D223" s="51">
        <v>10000000000</v>
      </c>
      <c r="E223" s="37">
        <v>0</v>
      </c>
      <c r="F223" s="51">
        <v>10000000000</v>
      </c>
      <c r="G223" s="37">
        <v>0</v>
      </c>
    </row>
    <row r="224" spans="4:7" x14ac:dyDescent="0.55000000000000004">
      <c r="D224" s="51">
        <v>10000000000</v>
      </c>
      <c r="E224" s="37">
        <v>0</v>
      </c>
      <c r="F224" s="51">
        <v>10000000000</v>
      </c>
      <c r="G224" s="37">
        <v>0</v>
      </c>
    </row>
    <row r="225" spans="4:7" x14ac:dyDescent="0.55000000000000004">
      <c r="D225" s="51">
        <v>10000000000</v>
      </c>
      <c r="E225" s="37">
        <v>0</v>
      </c>
      <c r="F225" s="51">
        <v>10000000000</v>
      </c>
      <c r="G225" s="37">
        <v>0</v>
      </c>
    </row>
    <row r="226" spans="4:7" x14ac:dyDescent="0.55000000000000004">
      <c r="D226" s="51">
        <v>10000000000</v>
      </c>
      <c r="E226" s="37">
        <v>0</v>
      </c>
      <c r="F226" s="51">
        <v>10000000000</v>
      </c>
      <c r="G226" s="37">
        <v>0</v>
      </c>
    </row>
    <row r="227" spans="4:7" x14ac:dyDescent="0.55000000000000004">
      <c r="D227" s="51">
        <v>10000000000</v>
      </c>
      <c r="E227" s="37">
        <v>0</v>
      </c>
      <c r="F227" s="51">
        <v>10000000000</v>
      </c>
      <c r="G227" s="37">
        <v>0</v>
      </c>
    </row>
    <row r="228" spans="4:7" x14ac:dyDescent="0.55000000000000004">
      <c r="D228" s="51">
        <v>10000000000</v>
      </c>
      <c r="E228" s="37">
        <v>0</v>
      </c>
      <c r="F228" s="51">
        <v>10000000000</v>
      </c>
      <c r="G228" s="37">
        <v>0</v>
      </c>
    </row>
    <row r="229" spans="4:7" x14ac:dyDescent="0.55000000000000004">
      <c r="D229" s="51">
        <v>10000000000</v>
      </c>
      <c r="E229" s="37">
        <v>0</v>
      </c>
      <c r="F229" s="51">
        <v>10000000000</v>
      </c>
      <c r="G229" s="37">
        <v>0</v>
      </c>
    </row>
    <row r="230" spans="4:7" x14ac:dyDescent="0.55000000000000004">
      <c r="D230" s="51">
        <v>10000000000</v>
      </c>
      <c r="E230" s="37">
        <v>0</v>
      </c>
      <c r="F230" s="51">
        <v>10000000000</v>
      </c>
      <c r="G230" s="37">
        <v>0</v>
      </c>
    </row>
    <row r="231" spans="4:7" x14ac:dyDescent="0.55000000000000004">
      <c r="D231" s="51">
        <v>10000000000</v>
      </c>
      <c r="E231" s="37">
        <v>0</v>
      </c>
      <c r="F231" s="51">
        <v>10000000000</v>
      </c>
      <c r="G231" s="37">
        <v>0</v>
      </c>
    </row>
    <row r="232" spans="4:7" x14ac:dyDescent="0.55000000000000004">
      <c r="D232" s="51">
        <v>10000000000</v>
      </c>
      <c r="E232" s="37">
        <v>0</v>
      </c>
      <c r="F232" s="51">
        <v>10000000000</v>
      </c>
      <c r="G232" s="37">
        <v>0</v>
      </c>
    </row>
    <row r="234" spans="4:7" x14ac:dyDescent="0.55000000000000004">
      <c r="D234" s="219" t="s">
        <v>769</v>
      </c>
      <c r="E234" s="219"/>
      <c r="F234" s="219"/>
      <c r="G234" s="219"/>
    </row>
    <row r="235" spans="4:7" x14ac:dyDescent="0.55000000000000004">
      <c r="D235" s="4" t="s">
        <v>216</v>
      </c>
      <c r="E235" s="4" t="s">
        <v>217</v>
      </c>
      <c r="F235" s="4" t="s">
        <v>218</v>
      </c>
      <c r="G235" s="4" t="s">
        <v>219</v>
      </c>
    </row>
    <row r="236" spans="4:7" x14ac:dyDescent="0.55000000000000004">
      <c r="D236" s="51">
        <v>0</v>
      </c>
      <c r="E236" s="37">
        <v>0.03</v>
      </c>
      <c r="F236" s="51">
        <v>0</v>
      </c>
      <c r="G236" s="37">
        <v>0.03</v>
      </c>
    </row>
    <row r="237" spans="4:7" x14ac:dyDescent="0.55000000000000004">
      <c r="D237" s="51">
        <v>10000000000</v>
      </c>
      <c r="E237" s="37">
        <v>0</v>
      </c>
      <c r="F237" s="51">
        <v>10000000000</v>
      </c>
      <c r="G237" s="37">
        <v>0</v>
      </c>
    </row>
    <row r="238" spans="4:7" x14ac:dyDescent="0.55000000000000004">
      <c r="D238" s="51">
        <v>10000000000</v>
      </c>
      <c r="E238" s="37">
        <v>0</v>
      </c>
      <c r="F238" s="51">
        <v>10000000000</v>
      </c>
      <c r="G238" s="37">
        <v>0</v>
      </c>
    </row>
    <row r="239" spans="4:7" x14ac:dyDescent="0.55000000000000004">
      <c r="D239" s="51">
        <v>10000000000</v>
      </c>
      <c r="E239" s="37">
        <v>0</v>
      </c>
      <c r="F239" s="51">
        <v>10000000000</v>
      </c>
      <c r="G239" s="37">
        <v>0</v>
      </c>
    </row>
    <row r="240" spans="4:7" x14ac:dyDescent="0.55000000000000004">
      <c r="D240" s="51">
        <v>10000000000</v>
      </c>
      <c r="E240" s="37">
        <v>0</v>
      </c>
      <c r="F240" s="51">
        <v>10000000000</v>
      </c>
      <c r="G240" s="37">
        <v>0</v>
      </c>
    </row>
    <row r="241" spans="1:7" x14ac:dyDescent="0.55000000000000004">
      <c r="D241" s="51">
        <v>10000000000</v>
      </c>
      <c r="E241" s="37">
        <v>0</v>
      </c>
      <c r="F241" s="51">
        <v>10000000000</v>
      </c>
      <c r="G241" s="37">
        <v>0</v>
      </c>
    </row>
    <row r="242" spans="1:7" x14ac:dyDescent="0.55000000000000004">
      <c r="D242" s="51">
        <v>10000000000</v>
      </c>
      <c r="E242" s="37">
        <v>0</v>
      </c>
      <c r="F242" s="51">
        <v>10000000000</v>
      </c>
      <c r="G242" s="37">
        <v>0</v>
      </c>
    </row>
    <row r="243" spans="1:7" x14ac:dyDescent="0.55000000000000004">
      <c r="D243" s="51">
        <v>10000000000</v>
      </c>
      <c r="E243" s="37">
        <v>0</v>
      </c>
      <c r="F243" s="51">
        <v>10000000000</v>
      </c>
      <c r="G243" s="37">
        <v>0</v>
      </c>
    </row>
    <row r="244" spans="1:7" x14ac:dyDescent="0.55000000000000004">
      <c r="D244" s="51">
        <v>10000000000</v>
      </c>
      <c r="E244" s="37">
        <v>0</v>
      </c>
      <c r="F244" s="51">
        <v>10000000000</v>
      </c>
      <c r="G244" s="37">
        <v>0</v>
      </c>
    </row>
    <row r="245" spans="1:7" x14ac:dyDescent="0.55000000000000004">
      <c r="D245" s="51">
        <v>10000000000</v>
      </c>
      <c r="E245" s="37">
        <v>0</v>
      </c>
      <c r="F245" s="51">
        <v>10000000000</v>
      </c>
      <c r="G245" s="37">
        <v>0</v>
      </c>
    </row>
    <row r="246" spans="1:7" x14ac:dyDescent="0.55000000000000004">
      <c r="D246" s="51">
        <v>10000000000</v>
      </c>
      <c r="E246" s="37">
        <v>0</v>
      </c>
      <c r="F246" s="51">
        <v>10000000000</v>
      </c>
      <c r="G246" s="37">
        <v>0</v>
      </c>
    </row>
    <row r="247" spans="1:7" x14ac:dyDescent="0.55000000000000004">
      <c r="D247" s="51">
        <v>10000000000</v>
      </c>
      <c r="E247" s="37">
        <v>0</v>
      </c>
      <c r="F247" s="51">
        <v>10000000000</v>
      </c>
      <c r="G247" s="37">
        <v>0</v>
      </c>
    </row>
    <row r="249" spans="1:7" x14ac:dyDescent="0.55000000000000004">
      <c r="A249" s="220" t="s">
        <v>670</v>
      </c>
      <c r="B249" s="221"/>
    </row>
    <row r="250" spans="1:7" x14ac:dyDescent="0.55000000000000004">
      <c r="A250" s="17" t="s">
        <v>669</v>
      </c>
      <c r="B250" s="17" t="s">
        <v>668</v>
      </c>
    </row>
    <row r="251" spans="1:7" x14ac:dyDescent="0.55000000000000004">
      <c r="A251" s="4">
        <v>72</v>
      </c>
      <c r="B251" s="10">
        <v>27.4</v>
      </c>
    </row>
    <row r="252" spans="1:7" x14ac:dyDescent="0.55000000000000004">
      <c r="A252" s="4">
        <v>73</v>
      </c>
      <c r="B252" s="10">
        <v>26.5</v>
      </c>
    </row>
    <row r="253" spans="1:7" x14ac:dyDescent="0.55000000000000004">
      <c r="A253" s="4">
        <v>74</v>
      </c>
      <c r="B253" s="10">
        <v>25.5</v>
      </c>
    </row>
    <row r="254" spans="1:7" x14ac:dyDescent="0.55000000000000004">
      <c r="A254" s="4">
        <v>75</v>
      </c>
      <c r="B254" s="10">
        <v>24.6</v>
      </c>
    </row>
    <row r="255" spans="1:7" x14ac:dyDescent="0.55000000000000004">
      <c r="A255" s="4">
        <v>76</v>
      </c>
      <c r="B255" s="10">
        <v>23.7</v>
      </c>
    </row>
    <row r="256" spans="1:7" x14ac:dyDescent="0.55000000000000004">
      <c r="A256" s="4">
        <v>77</v>
      </c>
      <c r="B256" s="10">
        <v>22.9</v>
      </c>
    </row>
    <row r="257" spans="1:2" x14ac:dyDescent="0.55000000000000004">
      <c r="A257" s="4">
        <v>78</v>
      </c>
      <c r="B257" s="10">
        <v>22</v>
      </c>
    </row>
    <row r="258" spans="1:2" x14ac:dyDescent="0.55000000000000004">
      <c r="A258" s="4">
        <v>79</v>
      </c>
      <c r="B258" s="10">
        <v>21.1</v>
      </c>
    </row>
    <row r="259" spans="1:2" x14ac:dyDescent="0.55000000000000004">
      <c r="A259" s="4">
        <v>80</v>
      </c>
      <c r="B259" s="10">
        <v>20.2</v>
      </c>
    </row>
    <row r="260" spans="1:2" x14ac:dyDescent="0.55000000000000004">
      <c r="A260" s="4">
        <v>81</v>
      </c>
      <c r="B260" s="10">
        <v>19.399999999999999</v>
      </c>
    </row>
    <row r="261" spans="1:2" x14ac:dyDescent="0.55000000000000004">
      <c r="A261" s="4">
        <v>82</v>
      </c>
      <c r="B261" s="10">
        <v>18.5</v>
      </c>
    </row>
    <row r="262" spans="1:2" x14ac:dyDescent="0.55000000000000004">
      <c r="A262" s="4">
        <v>83</v>
      </c>
      <c r="B262" s="10">
        <v>17.7</v>
      </c>
    </row>
    <row r="263" spans="1:2" x14ac:dyDescent="0.55000000000000004">
      <c r="A263" s="4">
        <v>84</v>
      </c>
      <c r="B263" s="10">
        <v>16.8</v>
      </c>
    </row>
    <row r="264" spans="1:2" x14ac:dyDescent="0.55000000000000004">
      <c r="A264" s="4">
        <v>85</v>
      </c>
      <c r="B264" s="10">
        <v>16</v>
      </c>
    </row>
    <row r="265" spans="1:2" x14ac:dyDescent="0.55000000000000004">
      <c r="A265" s="4">
        <v>86</v>
      </c>
      <c r="B265" s="23">
        <v>15.2</v>
      </c>
    </row>
    <row r="266" spans="1:2" x14ac:dyDescent="0.55000000000000004">
      <c r="A266" s="4">
        <v>87</v>
      </c>
      <c r="B266" s="23">
        <v>14.4</v>
      </c>
    </row>
    <row r="267" spans="1:2" x14ac:dyDescent="0.55000000000000004">
      <c r="A267" s="4">
        <v>88</v>
      </c>
      <c r="B267" s="23">
        <v>13.7</v>
      </c>
    </row>
    <row r="268" spans="1:2" x14ac:dyDescent="0.55000000000000004">
      <c r="A268" s="4">
        <v>89</v>
      </c>
      <c r="B268" s="23">
        <v>12.9</v>
      </c>
    </row>
    <row r="269" spans="1:2" x14ac:dyDescent="0.55000000000000004">
      <c r="A269" s="4">
        <v>90</v>
      </c>
      <c r="B269" s="23">
        <v>12.2</v>
      </c>
    </row>
    <row r="270" spans="1:2" x14ac:dyDescent="0.55000000000000004">
      <c r="A270" s="4">
        <v>91</v>
      </c>
      <c r="B270" s="23">
        <v>11.5</v>
      </c>
    </row>
    <row r="271" spans="1:2" x14ac:dyDescent="0.55000000000000004">
      <c r="A271" s="4">
        <v>92</v>
      </c>
      <c r="B271" s="23">
        <v>10.8</v>
      </c>
    </row>
    <row r="272" spans="1:2" x14ac:dyDescent="0.55000000000000004">
      <c r="A272" s="4">
        <v>93</v>
      </c>
      <c r="B272" s="23">
        <v>10.1</v>
      </c>
    </row>
    <row r="273" spans="1:2" x14ac:dyDescent="0.55000000000000004">
      <c r="A273" s="4">
        <v>94</v>
      </c>
      <c r="B273" s="23">
        <v>9.5</v>
      </c>
    </row>
    <row r="274" spans="1:2" x14ac:dyDescent="0.55000000000000004">
      <c r="A274" s="4">
        <v>95</v>
      </c>
      <c r="B274" s="23">
        <v>8.9</v>
      </c>
    </row>
    <row r="275" spans="1:2" x14ac:dyDescent="0.55000000000000004">
      <c r="A275" s="15">
        <v>96</v>
      </c>
      <c r="B275" s="23">
        <v>8.4</v>
      </c>
    </row>
    <row r="276" spans="1:2" x14ac:dyDescent="0.55000000000000004">
      <c r="A276" s="15">
        <v>97</v>
      </c>
      <c r="B276" s="23">
        <v>7.8</v>
      </c>
    </row>
    <row r="277" spans="1:2" x14ac:dyDescent="0.55000000000000004">
      <c r="A277" s="15">
        <v>98</v>
      </c>
      <c r="B277" s="23">
        <v>7.3</v>
      </c>
    </row>
    <row r="278" spans="1:2" x14ac:dyDescent="0.55000000000000004">
      <c r="A278" s="15">
        <v>99</v>
      </c>
      <c r="B278" s="23">
        <v>6.8</v>
      </c>
    </row>
    <row r="279" spans="1:2" x14ac:dyDescent="0.55000000000000004">
      <c r="A279" s="15">
        <v>100</v>
      </c>
      <c r="B279" s="23">
        <v>6.4</v>
      </c>
    </row>
    <row r="280" spans="1:2" x14ac:dyDescent="0.55000000000000004">
      <c r="A280" s="15">
        <v>101</v>
      </c>
      <c r="B280" s="23">
        <v>6</v>
      </c>
    </row>
    <row r="281" spans="1:2" x14ac:dyDescent="0.55000000000000004">
      <c r="A281" s="15">
        <v>102</v>
      </c>
      <c r="B281" s="23">
        <v>5.6</v>
      </c>
    </row>
    <row r="282" spans="1:2" x14ac:dyDescent="0.55000000000000004">
      <c r="A282" s="15">
        <v>103</v>
      </c>
      <c r="B282" s="23">
        <v>5.2</v>
      </c>
    </row>
    <row r="283" spans="1:2" x14ac:dyDescent="0.55000000000000004">
      <c r="A283" s="15">
        <v>104</v>
      </c>
      <c r="B283" s="23">
        <v>4</v>
      </c>
    </row>
    <row r="284" spans="1:2" x14ac:dyDescent="0.55000000000000004">
      <c r="A284" s="15">
        <v>105</v>
      </c>
      <c r="B284" s="23">
        <v>4.9000000000000004</v>
      </c>
    </row>
    <row r="285" spans="1:2" x14ac:dyDescent="0.55000000000000004">
      <c r="A285" s="15">
        <v>106</v>
      </c>
      <c r="B285" s="23">
        <v>4.5999999999999996</v>
      </c>
    </row>
    <row r="1608" spans="39:39" x14ac:dyDescent="0.55000000000000004">
      <c r="AM1608">
        <v>4714239.9079999998</v>
      </c>
    </row>
  </sheetData>
  <dataConsolidate/>
  <mergeCells count="183">
    <mergeCell ref="S43:T43"/>
    <mergeCell ref="A44:C44"/>
    <mergeCell ref="A45:C45"/>
    <mergeCell ref="FF1:GC2"/>
    <mergeCell ref="GD1:GG2"/>
    <mergeCell ref="GH1:GI2"/>
    <mergeCell ref="GJ1:GK2"/>
    <mergeCell ref="D2:N2"/>
    <mergeCell ref="O2:S2"/>
    <mergeCell ref="BJ2:BT2"/>
    <mergeCell ref="D1:S1"/>
    <mergeCell ref="T1:AA2"/>
    <mergeCell ref="AB1:AB2"/>
    <mergeCell ref="AC1:AM1"/>
    <mergeCell ref="AW1:DQ1"/>
    <mergeCell ref="EW1:FC2"/>
    <mergeCell ref="A46:C46"/>
    <mergeCell ref="A47:C47"/>
    <mergeCell ref="A48:C48"/>
    <mergeCell ref="A49:C49"/>
    <mergeCell ref="A50:C50"/>
    <mergeCell ref="A51:C51"/>
    <mergeCell ref="A41:G41"/>
    <mergeCell ref="A42:C42"/>
    <mergeCell ref="A43:C43"/>
    <mergeCell ref="A58:D58"/>
    <mergeCell ref="A59:C59"/>
    <mergeCell ref="A60:C60"/>
    <mergeCell ref="A61:C61"/>
    <mergeCell ref="A62:C62"/>
    <mergeCell ref="A63:D63"/>
    <mergeCell ref="A52:C52"/>
    <mergeCell ref="A53:C53"/>
    <mergeCell ref="A54:C54"/>
    <mergeCell ref="A55:C55"/>
    <mergeCell ref="A56:C56"/>
    <mergeCell ref="A57:C57"/>
    <mergeCell ref="A74:G74"/>
    <mergeCell ref="A75:E75"/>
    <mergeCell ref="A76:E76"/>
    <mergeCell ref="A77:E77"/>
    <mergeCell ref="A78:E78"/>
    <mergeCell ref="A79:E79"/>
    <mergeCell ref="A64:C64"/>
    <mergeCell ref="A65:C65"/>
    <mergeCell ref="A66:C66"/>
    <mergeCell ref="A67:D67"/>
    <mergeCell ref="A68:C68"/>
    <mergeCell ref="A69:C69"/>
    <mergeCell ref="A70:D70"/>
    <mergeCell ref="A71:C71"/>
    <mergeCell ref="A72:C72"/>
    <mergeCell ref="AE89:AP89"/>
    <mergeCell ref="A90:E90"/>
    <mergeCell ref="A91:E91"/>
    <mergeCell ref="A80:E80"/>
    <mergeCell ref="A81:E81"/>
    <mergeCell ref="A82:E82"/>
    <mergeCell ref="A83:E83"/>
    <mergeCell ref="A84:E84"/>
    <mergeCell ref="A85:E85"/>
    <mergeCell ref="A92:E92"/>
    <mergeCell ref="A93:E93"/>
    <mergeCell ref="N93:T94"/>
    <mergeCell ref="A94:E94"/>
    <mergeCell ref="A95:E95"/>
    <mergeCell ref="A96:E96"/>
    <mergeCell ref="A86:E86"/>
    <mergeCell ref="A88:G88"/>
    <mergeCell ref="A89:E89"/>
    <mergeCell ref="A101:E101"/>
    <mergeCell ref="A102:E102"/>
    <mergeCell ref="A103:E103"/>
    <mergeCell ref="A104:E104"/>
    <mergeCell ref="A106:G106"/>
    <mergeCell ref="AE106:AO106"/>
    <mergeCell ref="A97:E97"/>
    <mergeCell ref="AF97:AP97"/>
    <mergeCell ref="A98:E98"/>
    <mergeCell ref="A99:E99"/>
    <mergeCell ref="AF99:AP99"/>
    <mergeCell ref="A100:E100"/>
    <mergeCell ref="N100:U100"/>
    <mergeCell ref="AF100:AP100"/>
    <mergeCell ref="A110:E110"/>
    <mergeCell ref="AE110:AG110"/>
    <mergeCell ref="A111:E111"/>
    <mergeCell ref="AE111:AG111"/>
    <mergeCell ref="A112:E112"/>
    <mergeCell ref="AE112:AG112"/>
    <mergeCell ref="A107:E107"/>
    <mergeCell ref="AE107:AG107"/>
    <mergeCell ref="A108:E108"/>
    <mergeCell ref="AE108:AG108"/>
    <mergeCell ref="A109:E109"/>
    <mergeCell ref="AE109:AG109"/>
    <mergeCell ref="A119:E119"/>
    <mergeCell ref="A120:E120"/>
    <mergeCell ref="A121:E121"/>
    <mergeCell ref="A122:E122"/>
    <mergeCell ref="A123:E123"/>
    <mergeCell ref="A124:E124"/>
    <mergeCell ref="A113:E113"/>
    <mergeCell ref="A114:E114"/>
    <mergeCell ref="A115:E115"/>
    <mergeCell ref="A116:E116"/>
    <mergeCell ref="A117:E117"/>
    <mergeCell ref="A118:E118"/>
    <mergeCell ref="A131:E131"/>
    <mergeCell ref="A132:E132"/>
    <mergeCell ref="A133:E133"/>
    <mergeCell ref="A134:E134"/>
    <mergeCell ref="A135:E135"/>
    <mergeCell ref="A136:E136"/>
    <mergeCell ref="A125:E125"/>
    <mergeCell ref="A126:E126"/>
    <mergeCell ref="A127:E127"/>
    <mergeCell ref="A128:E128"/>
    <mergeCell ref="A129:E129"/>
    <mergeCell ref="A130:E130"/>
    <mergeCell ref="A145:E145"/>
    <mergeCell ref="A146:E146"/>
    <mergeCell ref="A147:E147"/>
    <mergeCell ref="A148:E148"/>
    <mergeCell ref="A149:E149"/>
    <mergeCell ref="A150:E150"/>
    <mergeCell ref="A138:G138"/>
    <mergeCell ref="A139:E139"/>
    <mergeCell ref="A140:E140"/>
    <mergeCell ref="A142:G142"/>
    <mergeCell ref="A143:E143"/>
    <mergeCell ref="A144:E144"/>
    <mergeCell ref="A157:E157"/>
    <mergeCell ref="A158:E158"/>
    <mergeCell ref="A159:E159"/>
    <mergeCell ref="A160:E160"/>
    <mergeCell ref="A161:E161"/>
    <mergeCell ref="A162:E162"/>
    <mergeCell ref="A151:E151"/>
    <mergeCell ref="A152:E152"/>
    <mergeCell ref="A153:E153"/>
    <mergeCell ref="A154:E154"/>
    <mergeCell ref="A155:E155"/>
    <mergeCell ref="A156:E156"/>
    <mergeCell ref="A170:E170"/>
    <mergeCell ref="A171:E171"/>
    <mergeCell ref="A172:E172"/>
    <mergeCell ref="A173:E173"/>
    <mergeCell ref="A174:E174"/>
    <mergeCell ref="A175:E175"/>
    <mergeCell ref="A164:E164"/>
    <mergeCell ref="A165:E165"/>
    <mergeCell ref="A166:E166"/>
    <mergeCell ref="A167:E167"/>
    <mergeCell ref="A168:E168"/>
    <mergeCell ref="A169:E169"/>
    <mergeCell ref="T181:V181"/>
    <mergeCell ref="T182:V182"/>
    <mergeCell ref="T183:V183"/>
    <mergeCell ref="T184:V184"/>
    <mergeCell ref="T185:V185"/>
    <mergeCell ref="T187:V187"/>
    <mergeCell ref="A176:E176"/>
    <mergeCell ref="D178:G178"/>
    <mergeCell ref="T178:V178"/>
    <mergeCell ref="F179:G179"/>
    <mergeCell ref="O179:P179"/>
    <mergeCell ref="T180:V180"/>
    <mergeCell ref="D234:G234"/>
    <mergeCell ref="A249:B249"/>
    <mergeCell ref="T200:V200"/>
    <mergeCell ref="T201:V201"/>
    <mergeCell ref="D207:G207"/>
    <mergeCell ref="D208:E208"/>
    <mergeCell ref="F208:G208"/>
    <mergeCell ref="D219:G219"/>
    <mergeCell ref="T188:V188"/>
    <mergeCell ref="C189:G189"/>
    <mergeCell ref="C190:E190"/>
    <mergeCell ref="F190:G190"/>
    <mergeCell ref="T198:V198"/>
    <mergeCell ref="D199:G199"/>
    <mergeCell ref="T199:V199"/>
  </mergeCells>
  <dataValidations count="6">
    <dataValidation type="list" allowBlank="1" showInputMessage="1" showErrorMessage="1" sqref="G165" xr:uid="{1F3B5225-3042-44D3-ACF5-3A779F5039DD}">
      <formula1>INDIRECT("'" &amp; G140 &amp; "'" &amp; "!H3:H53")</formula1>
    </dataValidation>
    <dataValidation type="list" allowBlank="1" showInputMessage="1" showErrorMessage="1" sqref="F165" xr:uid="{9350822C-91A2-42D2-A05F-721E2D5C8829}">
      <formula1>INDIRECT("'" &amp; G140 &amp; "'" &amp; "!H3:H53")</formula1>
    </dataValidation>
    <dataValidation type="list" allowBlank="1" showInputMessage="1" showErrorMessage="1" sqref="G84" xr:uid="{513E19A6-8176-4565-9024-BEBC6A8C071A}">
      <formula1>"Explicit,ZExplicit,Zero,Maximum,Optimize,HalfOptimized,3QOptimized,OptAvoidIRMAA2,OptAvoidIRMAA3,OptAvoidIRMAA4"</formula1>
    </dataValidation>
    <dataValidation type="list" allowBlank="1" showInputMessage="1" showErrorMessage="1" sqref="G85" xr:uid="{BA87DCEB-3B1F-42AE-818A-B9B98DC10655}">
      <formula1>"Explicit,Maximize"</formula1>
    </dataValidation>
    <dataValidation type="list" allowBlank="1" showInputMessage="1" showErrorMessage="1" sqref="G99" xr:uid="{A2A0767B-FC57-45E1-B025-93945A62EC8F}">
      <formula1>"TCJAHistoric,TCJAPessimistic,PostTCJAHistoric,PostTCJAOptimistic,PostTCJAPessimistic"</formula1>
    </dataValidation>
    <dataValidation type="list" allowBlank="1" showInputMessage="1" showErrorMessage="1" sqref="G83" xr:uid="{9593BFA6-0FB7-4B77-9EFE-F28D87AC3B25}">
      <formula1>"ReduceByRMDOnly,AvoidMedicareBracket4,AvoidMedicareBracket5,FlatRate,AdjustedFlatRate"</formula1>
    </dataValidation>
  </dataValidations>
  <pageMargins left="0.25" right="0.25"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F2D13E-165B-4BC4-9345-BCD588AE2A11}">
  <sheetPr codeName="Sheet6"/>
  <dimension ref="A32:F42"/>
  <sheetViews>
    <sheetView tabSelected="1" topLeftCell="A14" workbookViewId="0">
      <selection activeCell="A30" sqref="A30:XFD30"/>
    </sheetView>
  </sheetViews>
  <sheetFormatPr defaultRowHeight="14.4" x14ac:dyDescent="0.55000000000000004"/>
  <sheetData>
    <row r="32" spans="1:6" x14ac:dyDescent="0.55000000000000004">
      <c r="A32" s="272" t="s">
        <v>735</v>
      </c>
      <c r="B32" s="272"/>
      <c r="C32" s="272"/>
      <c r="D32" s="272"/>
      <c r="E32" s="272"/>
      <c r="F32" s="272"/>
    </row>
    <row r="33" spans="1:3" x14ac:dyDescent="0.55000000000000004">
      <c r="A33" s="4" t="s">
        <v>669</v>
      </c>
      <c r="B33" s="4" t="s">
        <v>105</v>
      </c>
      <c r="C33" s="4" t="s">
        <v>106</v>
      </c>
    </row>
    <row r="34" spans="1:3" x14ac:dyDescent="0.55000000000000004">
      <c r="A34" s="4">
        <v>62</v>
      </c>
      <c r="B34" s="51">
        <f>B36-B38*(0.24*5/12)</f>
        <v>1342.6666666666667</v>
      </c>
      <c r="C34" s="51">
        <f>C36 - C39*0.24 * 5/12</f>
        <v>886.90000000000009</v>
      </c>
    </row>
    <row r="35" spans="1:3" x14ac:dyDescent="0.55000000000000004">
      <c r="A35" s="4">
        <v>63</v>
      </c>
      <c r="B35" s="51">
        <f>B36 - B38*(0.12 * 5/12)</f>
        <v>1431.3333333333333</v>
      </c>
      <c r="C35" s="51">
        <f>C36 - C39*0.12 * 5/12</f>
        <v>950.25</v>
      </c>
    </row>
    <row r="36" spans="1:3" x14ac:dyDescent="0.55000000000000004">
      <c r="A36" s="4">
        <v>64</v>
      </c>
      <c r="B36" s="51">
        <f>B39*(1-0.36 * 5/9 )</f>
        <v>1520</v>
      </c>
      <c r="C36" s="51">
        <f>C39*(1-0.36 * 5/9 )</f>
        <v>1013.6</v>
      </c>
    </row>
    <row r="37" spans="1:3" x14ac:dyDescent="0.55000000000000004">
      <c r="A37" s="4">
        <v>65</v>
      </c>
      <c r="B37" s="51">
        <f>B39*(1-0.24 * 5/9 )</f>
        <v>1646.6666666666667</v>
      </c>
      <c r="C37" s="51">
        <f>C39*(1-0.24 * 5/9 )</f>
        <v>1098.0666666666666</v>
      </c>
    </row>
    <row r="38" spans="1:3" x14ac:dyDescent="0.55000000000000004">
      <c r="A38" s="4">
        <v>66</v>
      </c>
      <c r="B38" s="51">
        <f>B39*(1-0.12 * 5/9 )</f>
        <v>1773.3333333333333</v>
      </c>
      <c r="C38" s="51">
        <f>C39*(1-0.12 * 5/9 )</f>
        <v>1182.5333333333333</v>
      </c>
    </row>
    <row r="39" spans="1:3" x14ac:dyDescent="0.55000000000000004">
      <c r="A39" s="4">
        <v>67</v>
      </c>
      <c r="B39" s="51">
        <v>1900</v>
      </c>
      <c r="C39" s="51">
        <v>1267</v>
      </c>
    </row>
    <row r="40" spans="1:3" x14ac:dyDescent="0.55000000000000004">
      <c r="A40" s="4">
        <v>68</v>
      </c>
      <c r="B40" s="51">
        <f>B39*1.08</f>
        <v>2052</v>
      </c>
      <c r="C40" s="51">
        <f>C39*1.08</f>
        <v>1368.3600000000001</v>
      </c>
    </row>
    <row r="41" spans="1:3" x14ac:dyDescent="0.55000000000000004">
      <c r="A41" s="4">
        <v>69</v>
      </c>
      <c r="B41" s="51">
        <f>B39*1.16</f>
        <v>2204</v>
      </c>
      <c r="C41" s="51">
        <f>C39*1.16</f>
        <v>1469.7199999999998</v>
      </c>
    </row>
    <row r="42" spans="1:3" x14ac:dyDescent="0.55000000000000004">
      <c r="A42" s="4">
        <v>70</v>
      </c>
      <c r="B42" s="51">
        <f>B39*1.24</f>
        <v>2356</v>
      </c>
      <c r="C42" s="51">
        <f>C39*1.24</f>
        <v>1571.08</v>
      </c>
    </row>
  </sheetData>
  <mergeCells count="1">
    <mergeCell ref="A32:F3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5EA00-2FBC-44A7-BEC3-CB26844DDE8D}">
  <sheetPr codeName="Sheet13"/>
  <dimension ref="A1:X236"/>
  <sheetViews>
    <sheetView topLeftCell="A6" workbookViewId="0">
      <selection activeCell="G22" sqref="G22"/>
    </sheetView>
  </sheetViews>
  <sheetFormatPr defaultRowHeight="14.4" x14ac:dyDescent="0.55000000000000004"/>
  <cols>
    <col min="2" max="2" width="10.68359375" customWidth="1"/>
    <col min="3" max="3" width="10" customWidth="1"/>
    <col min="4" max="4" width="10.47265625" customWidth="1"/>
    <col min="5" max="5" width="8.83984375" customWidth="1"/>
    <col min="9" max="9" width="12.7890625" customWidth="1"/>
    <col min="10" max="10" width="10.734375" customWidth="1"/>
    <col min="11" max="11" width="8.20703125" customWidth="1"/>
    <col min="12" max="12" width="8.7890625" customWidth="1"/>
    <col min="13" max="13" width="10.7890625" customWidth="1"/>
    <col min="14" max="14" width="9.89453125" customWidth="1"/>
    <col min="15" max="16" width="8.7890625" customWidth="1"/>
    <col min="17" max="18" width="12.68359375" customWidth="1"/>
    <col min="19" max="19" width="11.26171875" customWidth="1"/>
    <col min="20" max="20" width="8.83984375" style="45"/>
    <col min="24" max="24" width="54.1015625" customWidth="1"/>
  </cols>
  <sheetData>
    <row r="1" spans="1:24" x14ac:dyDescent="0.55000000000000004">
      <c r="A1" s="226" t="s">
        <v>430</v>
      </c>
      <c r="B1" s="226"/>
      <c r="C1" s="226"/>
      <c r="D1" s="226"/>
      <c r="E1" s="226"/>
      <c r="F1" s="226" t="s">
        <v>439</v>
      </c>
      <c r="G1" s="226"/>
    </row>
    <row r="2" spans="1:24" x14ac:dyDescent="0.55000000000000004">
      <c r="B2" t="s">
        <v>661</v>
      </c>
      <c r="C2" t="s">
        <v>217</v>
      </c>
      <c r="D2" t="s">
        <v>662</v>
      </c>
      <c r="E2" t="s">
        <v>219</v>
      </c>
      <c r="F2" t="s">
        <v>29</v>
      </c>
      <c r="G2" t="s">
        <v>28</v>
      </c>
      <c r="I2" t="s">
        <v>478</v>
      </c>
      <c r="J2" t="s">
        <v>479</v>
      </c>
      <c r="K2" t="s">
        <v>484</v>
      </c>
      <c r="L2" t="s">
        <v>485</v>
      </c>
      <c r="M2" t="s">
        <v>491</v>
      </c>
      <c r="N2" t="s">
        <v>492</v>
      </c>
      <c r="O2" t="s">
        <v>486</v>
      </c>
      <c r="P2" t="s">
        <v>487</v>
      </c>
      <c r="Q2" t="s">
        <v>480</v>
      </c>
      <c r="R2" t="s">
        <v>493</v>
      </c>
      <c r="S2" t="s">
        <v>481</v>
      </c>
      <c r="T2" s="45" t="s">
        <v>235</v>
      </c>
      <c r="U2" t="s">
        <v>482</v>
      </c>
      <c r="V2" t="s">
        <v>483</v>
      </c>
      <c r="W2" t="s">
        <v>509</v>
      </c>
    </row>
    <row r="3" spans="1:24" ht="15.6" x14ac:dyDescent="0.75">
      <c r="A3" s="13" t="s">
        <v>426</v>
      </c>
      <c r="B3" s="94">
        <v>0</v>
      </c>
      <c r="C3" s="93">
        <v>0.02</v>
      </c>
      <c r="D3" s="94">
        <v>0</v>
      </c>
      <c r="E3" s="93">
        <v>0.02</v>
      </c>
      <c r="F3" s="45">
        <f>C3+B$172</f>
        <v>2.1000000000000001E-2</v>
      </c>
      <c r="G3" s="45">
        <f>E3+B$172</f>
        <v>2.1000000000000001E-2</v>
      </c>
      <c r="H3" s="13" t="s">
        <v>426</v>
      </c>
      <c r="I3" s="96">
        <v>3000</v>
      </c>
      <c r="J3" s="94">
        <v>8500</v>
      </c>
      <c r="K3" s="96">
        <v>1500</v>
      </c>
      <c r="L3" s="94">
        <v>3000</v>
      </c>
      <c r="M3" s="94">
        <v>0</v>
      </c>
      <c r="N3" s="94">
        <v>0</v>
      </c>
      <c r="O3" s="94">
        <v>0</v>
      </c>
      <c r="P3" s="94">
        <v>0</v>
      </c>
      <c r="Q3" t="b">
        <v>0</v>
      </c>
      <c r="R3" t="b">
        <v>0</v>
      </c>
      <c r="S3" t="b">
        <v>1</v>
      </c>
      <c r="T3" s="45">
        <v>0</v>
      </c>
      <c r="U3" t="b">
        <v>1</v>
      </c>
      <c r="V3" t="b">
        <v>1</v>
      </c>
      <c r="W3" t="b">
        <v>0</v>
      </c>
      <c r="X3" t="s">
        <v>488</v>
      </c>
    </row>
    <row r="4" spans="1:24" ht="15.6" x14ac:dyDescent="0.75">
      <c r="A4" s="13" t="s">
        <v>426</v>
      </c>
      <c r="B4" s="94">
        <v>500</v>
      </c>
      <c r="C4" s="93">
        <v>0.04</v>
      </c>
      <c r="D4" s="94">
        <v>1000</v>
      </c>
      <c r="E4" s="93">
        <v>0.04</v>
      </c>
      <c r="F4" s="45">
        <f t="shared" ref="F4:F5" si="0">C4+B$172</f>
        <v>4.1000000000000002E-2</v>
      </c>
      <c r="G4" s="45">
        <f t="shared" ref="G4:G5" si="1">E4+B$172</f>
        <v>4.1000000000000002E-2</v>
      </c>
      <c r="H4" s="93" t="s">
        <v>279</v>
      </c>
      <c r="I4">
        <v>0</v>
      </c>
      <c r="J4">
        <v>0</v>
      </c>
      <c r="K4">
        <v>0</v>
      </c>
      <c r="L4">
        <v>0</v>
      </c>
      <c r="M4">
        <v>0</v>
      </c>
      <c r="N4">
        <v>0</v>
      </c>
      <c r="O4">
        <v>0</v>
      </c>
      <c r="P4">
        <v>0</v>
      </c>
      <c r="Q4" t="b">
        <v>0</v>
      </c>
      <c r="R4" t="b">
        <v>0</v>
      </c>
      <c r="S4" t="b">
        <v>0</v>
      </c>
      <c r="T4" s="45">
        <v>0</v>
      </c>
      <c r="U4" t="b">
        <v>0</v>
      </c>
      <c r="V4" t="b">
        <v>0</v>
      </c>
      <c r="W4" t="b">
        <v>0</v>
      </c>
    </row>
    <row r="5" spans="1:24" ht="15.6" x14ac:dyDescent="0.75">
      <c r="A5" s="13" t="s">
        <v>426</v>
      </c>
      <c r="B5" s="94">
        <v>3000</v>
      </c>
      <c r="C5" s="93">
        <v>0.05</v>
      </c>
      <c r="D5" s="94">
        <v>6000</v>
      </c>
      <c r="E5" s="93">
        <v>0.05</v>
      </c>
      <c r="F5" s="45">
        <f t="shared" si="0"/>
        <v>5.1000000000000004E-2</v>
      </c>
      <c r="G5" s="45">
        <f t="shared" si="1"/>
        <v>5.1000000000000004E-2</v>
      </c>
      <c r="H5" s="93" t="s">
        <v>427</v>
      </c>
      <c r="I5" s="96">
        <v>14600</v>
      </c>
      <c r="J5" s="94">
        <v>29200</v>
      </c>
      <c r="K5">
        <v>0</v>
      </c>
      <c r="L5">
        <v>0</v>
      </c>
      <c r="M5">
        <v>0</v>
      </c>
      <c r="N5">
        <v>0</v>
      </c>
      <c r="O5">
        <v>0</v>
      </c>
      <c r="P5">
        <v>0</v>
      </c>
      <c r="Q5" t="b">
        <v>1</v>
      </c>
      <c r="R5" t="b">
        <v>1</v>
      </c>
      <c r="S5" t="b">
        <v>1</v>
      </c>
      <c r="T5" s="45">
        <v>0</v>
      </c>
      <c r="U5" t="b">
        <v>1</v>
      </c>
      <c r="V5" t="b">
        <v>1</v>
      </c>
      <c r="W5" t="b">
        <v>1</v>
      </c>
    </row>
    <row r="6" spans="1:24" ht="15.6" x14ac:dyDescent="0.75">
      <c r="A6" s="93" t="s">
        <v>279</v>
      </c>
      <c r="B6" s="94">
        <v>0</v>
      </c>
      <c r="C6" s="128">
        <v>0</v>
      </c>
      <c r="D6" s="94">
        <v>0</v>
      </c>
      <c r="E6" s="128">
        <v>0</v>
      </c>
      <c r="F6" s="45">
        <f>C6</f>
        <v>0</v>
      </c>
      <c r="G6" s="45">
        <f>E6</f>
        <v>0</v>
      </c>
      <c r="H6" s="93" t="s">
        <v>428</v>
      </c>
      <c r="I6" s="96">
        <v>2340</v>
      </c>
      <c r="J6" s="94">
        <v>4680</v>
      </c>
      <c r="K6">
        <v>0</v>
      </c>
      <c r="L6">
        <v>0</v>
      </c>
      <c r="M6">
        <v>0</v>
      </c>
      <c r="N6">
        <v>0</v>
      </c>
      <c r="O6">
        <v>29</v>
      </c>
      <c r="P6">
        <v>58</v>
      </c>
      <c r="Q6" t="b">
        <v>1</v>
      </c>
      <c r="R6" t="b">
        <v>1</v>
      </c>
      <c r="S6" t="b">
        <v>1</v>
      </c>
      <c r="T6" s="45">
        <v>0</v>
      </c>
      <c r="U6" t="b">
        <v>1</v>
      </c>
      <c r="V6" t="b">
        <v>1</v>
      </c>
      <c r="W6" t="b">
        <v>1</v>
      </c>
    </row>
    <row r="7" spans="1:24" ht="15.6" x14ac:dyDescent="0.75">
      <c r="A7" s="93" t="s">
        <v>427</v>
      </c>
      <c r="B7" s="94">
        <v>0</v>
      </c>
      <c r="C7" s="128">
        <v>2.5000000000000001E-2</v>
      </c>
      <c r="D7" s="94">
        <v>0</v>
      </c>
      <c r="E7" s="128">
        <v>2.5000000000000001E-2</v>
      </c>
      <c r="F7" s="45">
        <f t="shared" ref="F7:F28" si="2">C7</f>
        <v>2.5000000000000001E-2</v>
      </c>
      <c r="G7" s="45">
        <f t="shared" ref="G7:G28" si="3">E7</f>
        <v>2.5000000000000001E-2</v>
      </c>
      <c r="H7" s="93" t="s">
        <v>429</v>
      </c>
      <c r="I7" s="96">
        <v>5363</v>
      </c>
      <c r="J7" s="94">
        <v>10726</v>
      </c>
      <c r="K7">
        <v>0</v>
      </c>
      <c r="L7">
        <v>0</v>
      </c>
      <c r="M7">
        <v>0</v>
      </c>
      <c r="N7">
        <v>0</v>
      </c>
      <c r="O7">
        <v>144</v>
      </c>
      <c r="P7">
        <v>288</v>
      </c>
      <c r="Q7" t="b">
        <v>1</v>
      </c>
      <c r="R7" t="b">
        <v>1</v>
      </c>
      <c r="S7" t="b">
        <v>1</v>
      </c>
      <c r="T7" s="45">
        <v>0</v>
      </c>
      <c r="U7" t="b">
        <v>1</v>
      </c>
      <c r="V7" t="b">
        <v>1</v>
      </c>
      <c r="W7" t="b">
        <v>1</v>
      </c>
    </row>
    <row r="8" spans="1:24" ht="15.6" x14ac:dyDescent="0.75">
      <c r="A8" s="93" t="s">
        <v>428</v>
      </c>
      <c r="B8" s="94">
        <v>0</v>
      </c>
      <c r="C8" s="93">
        <v>0.02</v>
      </c>
      <c r="D8" s="94">
        <v>0</v>
      </c>
      <c r="E8" s="93">
        <v>0.02</v>
      </c>
      <c r="F8" s="45">
        <f t="shared" si="2"/>
        <v>0.02</v>
      </c>
      <c r="G8" s="45">
        <f t="shared" si="3"/>
        <v>0.02</v>
      </c>
      <c r="H8" s="93" t="s">
        <v>431</v>
      </c>
      <c r="I8" s="96">
        <v>14600</v>
      </c>
      <c r="J8" s="94">
        <v>29200</v>
      </c>
      <c r="K8">
        <v>0</v>
      </c>
      <c r="L8">
        <v>0</v>
      </c>
      <c r="M8">
        <v>0</v>
      </c>
      <c r="N8">
        <v>0</v>
      </c>
      <c r="O8">
        <v>0</v>
      </c>
      <c r="P8">
        <v>0</v>
      </c>
      <c r="Q8" t="b">
        <v>1</v>
      </c>
      <c r="R8" t="b">
        <v>1</v>
      </c>
      <c r="S8" t="b">
        <v>1</v>
      </c>
      <c r="T8" s="45">
        <v>0</v>
      </c>
      <c r="U8" t="b">
        <v>1</v>
      </c>
      <c r="V8" t="b">
        <v>1</v>
      </c>
      <c r="W8" t="b">
        <v>1</v>
      </c>
      <c r="X8" t="s">
        <v>489</v>
      </c>
    </row>
    <row r="9" spans="1:24" ht="15.6" x14ac:dyDescent="0.75">
      <c r="A9" s="93" t="s">
        <v>428</v>
      </c>
      <c r="B9" s="94">
        <v>4400</v>
      </c>
      <c r="C9" s="93">
        <v>0.04</v>
      </c>
      <c r="D9" s="94">
        <v>4400</v>
      </c>
      <c r="E9" s="93">
        <v>0.04</v>
      </c>
      <c r="F9" s="45">
        <f t="shared" si="2"/>
        <v>0.04</v>
      </c>
      <c r="G9" s="45">
        <f t="shared" si="3"/>
        <v>0.04</v>
      </c>
      <c r="H9" s="93" t="s">
        <v>432</v>
      </c>
      <c r="I9" s="94">
        <v>0</v>
      </c>
      <c r="J9" s="94">
        <v>0</v>
      </c>
      <c r="K9" s="96">
        <v>15000</v>
      </c>
      <c r="L9" s="94">
        <v>24000</v>
      </c>
      <c r="M9">
        <v>0</v>
      </c>
      <c r="N9">
        <v>0</v>
      </c>
      <c r="O9" s="94">
        <v>0</v>
      </c>
      <c r="P9" s="94">
        <v>0</v>
      </c>
      <c r="Q9" t="b">
        <v>1</v>
      </c>
      <c r="R9" t="b">
        <v>1</v>
      </c>
      <c r="S9" t="b">
        <v>1</v>
      </c>
      <c r="T9" s="131">
        <v>0.5</v>
      </c>
      <c r="U9" t="b">
        <v>1</v>
      </c>
      <c r="V9" t="b">
        <v>1</v>
      </c>
      <c r="W9" t="b">
        <v>0</v>
      </c>
      <c r="X9" t="s">
        <v>490</v>
      </c>
    </row>
    <row r="10" spans="1:24" ht="15.6" x14ac:dyDescent="0.75">
      <c r="A10" s="93" t="s">
        <v>428</v>
      </c>
      <c r="B10" s="94">
        <v>8800</v>
      </c>
      <c r="C10" s="95">
        <v>4.3999999999999997E-2</v>
      </c>
      <c r="D10" s="94">
        <v>8800</v>
      </c>
      <c r="E10" s="95">
        <v>4.3999999999999997E-2</v>
      </c>
      <c r="F10" s="45">
        <f t="shared" si="2"/>
        <v>4.3999999999999997E-2</v>
      </c>
      <c r="G10" s="45">
        <f t="shared" si="3"/>
        <v>4.3999999999999997E-2</v>
      </c>
      <c r="H10" s="93" t="s">
        <v>433</v>
      </c>
      <c r="I10" s="96">
        <v>3250</v>
      </c>
      <c r="J10" s="94">
        <v>6500</v>
      </c>
      <c r="K10">
        <v>0</v>
      </c>
      <c r="L10">
        <v>0</v>
      </c>
      <c r="M10">
        <v>12500</v>
      </c>
      <c r="N10">
        <v>25000</v>
      </c>
      <c r="O10">
        <v>110</v>
      </c>
      <c r="P10">
        <v>220</v>
      </c>
      <c r="Q10" t="b">
        <v>1</v>
      </c>
      <c r="R10" t="b">
        <v>1</v>
      </c>
      <c r="S10" t="b">
        <v>1</v>
      </c>
      <c r="T10" s="45">
        <v>0</v>
      </c>
      <c r="U10" t="b">
        <v>1</v>
      </c>
      <c r="V10" t="b">
        <v>1</v>
      </c>
      <c r="W10" t="b">
        <v>0</v>
      </c>
    </row>
    <row r="11" spans="1:24" ht="15.6" x14ac:dyDescent="0.75">
      <c r="A11" s="93" t="s">
        <v>429</v>
      </c>
      <c r="B11" s="94">
        <v>0</v>
      </c>
      <c r="C11" s="95">
        <v>0.01</v>
      </c>
      <c r="D11" s="94">
        <v>0</v>
      </c>
      <c r="E11" s="95">
        <v>0.01</v>
      </c>
      <c r="F11" s="45">
        <f t="shared" si="2"/>
        <v>0.01</v>
      </c>
      <c r="G11" s="45">
        <f t="shared" si="3"/>
        <v>0.01</v>
      </c>
      <c r="H11" s="93" t="s">
        <v>434</v>
      </c>
      <c r="I11">
        <v>0</v>
      </c>
      <c r="J11">
        <v>0</v>
      </c>
      <c r="K11">
        <v>0</v>
      </c>
      <c r="L11">
        <v>0</v>
      </c>
      <c r="M11">
        <v>0</v>
      </c>
      <c r="N11">
        <v>0</v>
      </c>
      <c r="O11">
        <v>0</v>
      </c>
      <c r="P11">
        <v>0</v>
      </c>
      <c r="Q11" t="b">
        <v>0</v>
      </c>
      <c r="R11" t="b">
        <v>0</v>
      </c>
      <c r="S11" t="b">
        <v>0</v>
      </c>
      <c r="T11" s="45">
        <v>0</v>
      </c>
      <c r="U11" t="b">
        <v>0</v>
      </c>
      <c r="V11" t="b">
        <v>0</v>
      </c>
      <c r="W11" t="b">
        <v>0</v>
      </c>
    </row>
    <row r="12" spans="1:24" ht="15.6" x14ac:dyDescent="0.75">
      <c r="A12" s="93" t="s">
        <v>429</v>
      </c>
      <c r="B12" s="94">
        <v>10412</v>
      </c>
      <c r="C12" s="95">
        <v>0.02</v>
      </c>
      <c r="D12" s="94">
        <v>20824</v>
      </c>
      <c r="E12" s="95">
        <v>0.02</v>
      </c>
      <c r="F12" s="45">
        <f t="shared" si="2"/>
        <v>0.02</v>
      </c>
      <c r="G12" s="45">
        <f t="shared" si="3"/>
        <v>0.02</v>
      </c>
      <c r="H12" s="93" t="s">
        <v>435</v>
      </c>
      <c r="I12" s="98">
        <v>12000</v>
      </c>
      <c r="J12" s="101">
        <v>24000</v>
      </c>
      <c r="K12">
        <v>0</v>
      </c>
      <c r="L12">
        <v>0</v>
      </c>
      <c r="M12">
        <v>65000</v>
      </c>
      <c r="N12">
        <v>130000</v>
      </c>
      <c r="O12">
        <v>0</v>
      </c>
      <c r="P12">
        <v>0</v>
      </c>
      <c r="Q12" t="b">
        <v>1</v>
      </c>
      <c r="R12" t="b">
        <v>1</v>
      </c>
      <c r="S12" t="b">
        <v>1</v>
      </c>
      <c r="T12" s="45">
        <v>0</v>
      </c>
      <c r="U12" t="b">
        <v>1</v>
      </c>
      <c r="V12" t="b">
        <v>1</v>
      </c>
      <c r="W12" t="b">
        <v>0</v>
      </c>
    </row>
    <row r="13" spans="1:24" ht="15.6" x14ac:dyDescent="0.75">
      <c r="A13" s="93" t="s">
        <v>429</v>
      </c>
      <c r="B13" s="94">
        <v>24684</v>
      </c>
      <c r="C13" s="95">
        <v>0.04</v>
      </c>
      <c r="D13" s="94">
        <v>49368</v>
      </c>
      <c r="E13" s="95">
        <v>0.04</v>
      </c>
      <c r="F13" s="45">
        <f t="shared" si="2"/>
        <v>0.04</v>
      </c>
      <c r="G13" s="45">
        <f t="shared" si="3"/>
        <v>0.04</v>
      </c>
      <c r="H13" s="93" t="s">
        <v>436</v>
      </c>
      <c r="I13" s="96">
        <v>2200</v>
      </c>
      <c r="J13" s="94">
        <v>4400</v>
      </c>
      <c r="K13" s="96">
        <v>1144</v>
      </c>
      <c r="L13" s="94">
        <v>2288</v>
      </c>
      <c r="M13" s="94">
        <v>0</v>
      </c>
      <c r="N13" s="94">
        <v>0</v>
      </c>
      <c r="O13" s="94">
        <v>0</v>
      </c>
      <c r="P13" s="94">
        <v>0</v>
      </c>
      <c r="Q13" t="b">
        <v>0</v>
      </c>
      <c r="R13" t="b">
        <v>1</v>
      </c>
      <c r="S13" t="b">
        <v>1</v>
      </c>
      <c r="T13" s="45">
        <v>0</v>
      </c>
      <c r="U13" t="b">
        <v>1</v>
      </c>
      <c r="V13" t="b">
        <v>1</v>
      </c>
      <c r="W13" t="b">
        <v>0</v>
      </c>
    </row>
    <row r="14" spans="1:24" ht="15.6" x14ac:dyDescent="0.75">
      <c r="A14" s="93" t="s">
        <v>429</v>
      </c>
      <c r="B14" s="94">
        <v>38959</v>
      </c>
      <c r="C14" s="95">
        <v>0.06</v>
      </c>
      <c r="D14" s="94">
        <v>77918</v>
      </c>
      <c r="E14" s="95">
        <v>0.06</v>
      </c>
      <c r="F14" s="45">
        <f t="shared" si="2"/>
        <v>0.06</v>
      </c>
      <c r="G14" s="45">
        <f t="shared" si="3"/>
        <v>0.06</v>
      </c>
      <c r="H14" s="93" t="s">
        <v>437</v>
      </c>
      <c r="I14" s="96">
        <v>14600</v>
      </c>
      <c r="J14" s="94">
        <v>29200</v>
      </c>
      <c r="K14">
        <v>0</v>
      </c>
      <c r="L14">
        <v>0</v>
      </c>
      <c r="M14">
        <v>0</v>
      </c>
      <c r="N14">
        <v>0</v>
      </c>
      <c r="O14">
        <v>0</v>
      </c>
      <c r="P14">
        <v>0</v>
      </c>
      <c r="Q14" t="b">
        <v>1</v>
      </c>
      <c r="R14" t="b">
        <v>1</v>
      </c>
      <c r="S14" t="b">
        <v>1</v>
      </c>
      <c r="T14" s="45">
        <v>0</v>
      </c>
      <c r="U14" t="b">
        <v>1</v>
      </c>
      <c r="V14" t="b">
        <v>1</v>
      </c>
      <c r="W14" t="b">
        <v>1</v>
      </c>
    </row>
    <row r="15" spans="1:24" ht="15.6" x14ac:dyDescent="0.75">
      <c r="A15" s="93" t="s">
        <v>429</v>
      </c>
      <c r="B15" s="94">
        <v>54081</v>
      </c>
      <c r="C15" s="95">
        <v>0.08</v>
      </c>
      <c r="D15" s="94">
        <v>108162</v>
      </c>
      <c r="E15" s="95">
        <v>0.08</v>
      </c>
      <c r="F15" s="45">
        <f t="shared" si="2"/>
        <v>0.08</v>
      </c>
      <c r="G15" s="45">
        <f t="shared" si="3"/>
        <v>0.08</v>
      </c>
      <c r="H15" s="93" t="s">
        <v>440</v>
      </c>
      <c r="I15" s="94">
        <v>0</v>
      </c>
      <c r="J15" s="94">
        <v>0</v>
      </c>
      <c r="K15" s="96">
        <v>2775</v>
      </c>
      <c r="L15" s="94">
        <v>5550</v>
      </c>
      <c r="M15" s="94">
        <v>0</v>
      </c>
      <c r="N15" s="94">
        <v>0</v>
      </c>
      <c r="O15" s="94">
        <v>0</v>
      </c>
      <c r="P15" s="94">
        <v>0</v>
      </c>
      <c r="Q15" t="b">
        <v>0</v>
      </c>
      <c r="R15" t="b">
        <v>0</v>
      </c>
      <c r="S15" t="b">
        <v>1</v>
      </c>
      <c r="T15" s="45">
        <v>0</v>
      </c>
      <c r="U15" t="b">
        <v>1</v>
      </c>
      <c r="V15" t="b">
        <v>1</v>
      </c>
      <c r="W15" t="b">
        <v>1</v>
      </c>
    </row>
    <row r="16" spans="1:24" ht="15.6" x14ac:dyDescent="0.75">
      <c r="A16" s="93" t="s">
        <v>429</v>
      </c>
      <c r="B16" s="94">
        <v>68350</v>
      </c>
      <c r="C16" s="95">
        <v>9.2999999999999999E-2</v>
      </c>
      <c r="D16" s="94">
        <v>136700</v>
      </c>
      <c r="E16" s="95">
        <v>9.2999999999999999E-2</v>
      </c>
      <c r="F16" s="45">
        <f t="shared" si="2"/>
        <v>9.2999999999999999E-2</v>
      </c>
      <c r="G16" s="45">
        <f t="shared" si="3"/>
        <v>9.2999999999999999E-2</v>
      </c>
      <c r="H16" s="93" t="s">
        <v>438</v>
      </c>
      <c r="I16" s="94">
        <v>0</v>
      </c>
      <c r="J16" s="94">
        <v>0</v>
      </c>
      <c r="K16" s="96">
        <v>1000</v>
      </c>
      <c r="L16" s="94">
        <v>2000</v>
      </c>
      <c r="M16" s="94">
        <v>0</v>
      </c>
      <c r="N16" s="94">
        <v>0</v>
      </c>
      <c r="O16" s="94">
        <v>0</v>
      </c>
      <c r="P16" s="94">
        <v>0</v>
      </c>
      <c r="Q16" t="b">
        <v>1</v>
      </c>
      <c r="R16" t="b">
        <v>1</v>
      </c>
      <c r="S16" t="b">
        <v>1</v>
      </c>
      <c r="T16" s="45">
        <v>0</v>
      </c>
      <c r="U16" t="b">
        <v>1</v>
      </c>
      <c r="V16" t="b">
        <v>1</v>
      </c>
      <c r="W16" t="b">
        <v>1</v>
      </c>
    </row>
    <row r="17" spans="1:24" ht="15.6" x14ac:dyDescent="0.75">
      <c r="A17" s="93" t="s">
        <v>429</v>
      </c>
      <c r="B17" s="94">
        <v>349137</v>
      </c>
      <c r="C17" s="95">
        <v>0.10299999999999999</v>
      </c>
      <c r="D17" s="94">
        <v>698274</v>
      </c>
      <c r="E17" s="95">
        <v>0.10299999999999999</v>
      </c>
      <c r="F17" s="45">
        <f t="shared" si="2"/>
        <v>0.10299999999999999</v>
      </c>
      <c r="G17" s="45">
        <f t="shared" si="3"/>
        <v>0.10299999999999999</v>
      </c>
      <c r="H17" s="93" t="s">
        <v>309</v>
      </c>
      <c r="I17" s="94">
        <v>0</v>
      </c>
      <c r="J17" s="94">
        <v>0</v>
      </c>
      <c r="K17" s="94">
        <v>0</v>
      </c>
      <c r="L17" s="94">
        <v>0</v>
      </c>
      <c r="M17" s="94">
        <v>0</v>
      </c>
      <c r="N17" s="94">
        <v>0</v>
      </c>
      <c r="O17" s="94">
        <v>40</v>
      </c>
      <c r="P17" s="94">
        <v>80</v>
      </c>
      <c r="Q17" t="b">
        <v>0</v>
      </c>
      <c r="R17" t="b">
        <v>0</v>
      </c>
      <c r="S17" t="b">
        <v>1</v>
      </c>
      <c r="T17" s="45">
        <v>0</v>
      </c>
      <c r="U17" t="b">
        <v>1</v>
      </c>
      <c r="V17" t="b">
        <v>1</v>
      </c>
      <c r="W17" t="b">
        <v>1</v>
      </c>
    </row>
    <row r="18" spans="1:24" ht="15.6" x14ac:dyDescent="0.75">
      <c r="A18" s="93" t="s">
        <v>429</v>
      </c>
      <c r="B18" s="94">
        <v>418961</v>
      </c>
      <c r="C18" s="95">
        <v>0.113</v>
      </c>
      <c r="D18" s="94">
        <v>837922</v>
      </c>
      <c r="E18" s="95">
        <v>0.113</v>
      </c>
      <c r="F18" s="45">
        <f t="shared" si="2"/>
        <v>0.113</v>
      </c>
      <c r="G18" s="45">
        <f t="shared" si="3"/>
        <v>0.113</v>
      </c>
      <c r="H18" s="93" t="s">
        <v>441</v>
      </c>
      <c r="I18" s="96">
        <v>3500</v>
      </c>
      <c r="J18" s="94">
        <v>8000</v>
      </c>
      <c r="K18" s="96">
        <v>2250</v>
      </c>
      <c r="L18" s="94">
        <v>4500</v>
      </c>
      <c r="M18" s="94">
        <v>0</v>
      </c>
      <c r="N18" s="94">
        <v>0</v>
      </c>
      <c r="O18" s="94">
        <v>0</v>
      </c>
      <c r="P18" s="94">
        <v>0</v>
      </c>
      <c r="Q18" t="b">
        <v>1</v>
      </c>
      <c r="R18" t="b">
        <v>1</v>
      </c>
      <c r="S18" t="b">
        <v>1</v>
      </c>
      <c r="T18" s="45">
        <v>0.85</v>
      </c>
      <c r="U18" t="b">
        <v>1</v>
      </c>
      <c r="V18" t="b">
        <v>1</v>
      </c>
      <c r="W18" t="b">
        <v>0</v>
      </c>
      <c r="X18" t="s">
        <v>494</v>
      </c>
    </row>
    <row r="19" spans="1:24" ht="15.6" x14ac:dyDescent="0.75">
      <c r="A19" s="93" t="s">
        <v>429</v>
      </c>
      <c r="B19" s="94">
        <v>698271</v>
      </c>
      <c r="C19" s="95">
        <v>0.123</v>
      </c>
      <c r="D19" s="101">
        <v>1000000</v>
      </c>
      <c r="E19" s="95">
        <v>0.123</v>
      </c>
      <c r="F19" s="45">
        <f t="shared" si="2"/>
        <v>0.123</v>
      </c>
      <c r="G19" s="45">
        <f t="shared" si="3"/>
        <v>0.123</v>
      </c>
      <c r="H19" s="93" t="s">
        <v>442</v>
      </c>
      <c r="I19" s="96">
        <v>3160</v>
      </c>
      <c r="J19" s="94">
        <v>6320</v>
      </c>
      <c r="K19" s="94">
        <v>0</v>
      </c>
      <c r="L19" s="94">
        <v>0</v>
      </c>
      <c r="M19" s="94">
        <v>0</v>
      </c>
      <c r="N19" s="94">
        <v>0</v>
      </c>
      <c r="O19" s="94">
        <v>0</v>
      </c>
      <c r="P19" s="94">
        <v>0</v>
      </c>
      <c r="Q19" t="b">
        <v>1</v>
      </c>
      <c r="R19" t="b">
        <v>1</v>
      </c>
      <c r="S19" t="b">
        <v>1</v>
      </c>
      <c r="T19" s="45">
        <v>0</v>
      </c>
      <c r="U19" t="b">
        <v>1</v>
      </c>
      <c r="V19" t="b">
        <v>1</v>
      </c>
      <c r="W19" t="b">
        <v>1</v>
      </c>
    </row>
    <row r="20" spans="1:24" ht="15.6" x14ac:dyDescent="0.75">
      <c r="A20" s="93" t="s">
        <v>429</v>
      </c>
      <c r="B20" s="94">
        <v>1000000</v>
      </c>
      <c r="C20" s="93">
        <v>0.13300000000000001</v>
      </c>
      <c r="D20" s="101">
        <v>1396542</v>
      </c>
      <c r="E20" s="93">
        <v>0.13300000000000001</v>
      </c>
      <c r="F20" s="45">
        <f t="shared" si="2"/>
        <v>0.13300000000000001</v>
      </c>
      <c r="G20" s="45">
        <f t="shared" si="3"/>
        <v>0.13300000000000001</v>
      </c>
      <c r="H20" s="93" t="s">
        <v>443</v>
      </c>
      <c r="I20" s="94">
        <v>0</v>
      </c>
      <c r="J20" s="94">
        <v>0</v>
      </c>
      <c r="K20" s="96">
        <v>4500</v>
      </c>
      <c r="L20" s="94">
        <v>9000</v>
      </c>
      <c r="M20" s="94">
        <v>6000</v>
      </c>
      <c r="N20" s="94">
        <v>12000</v>
      </c>
      <c r="O20" s="94">
        <v>0</v>
      </c>
      <c r="P20" s="94">
        <v>0</v>
      </c>
      <c r="Q20" t="b">
        <v>1</v>
      </c>
      <c r="R20" t="b">
        <v>1</v>
      </c>
      <c r="S20" t="b">
        <v>1</v>
      </c>
      <c r="T20" s="45">
        <v>0</v>
      </c>
      <c r="U20" t="b">
        <v>1</v>
      </c>
      <c r="V20" t="b">
        <v>1</v>
      </c>
      <c r="W20" t="b">
        <v>0</v>
      </c>
    </row>
    <row r="21" spans="1:24" ht="15.6" x14ac:dyDescent="0.75">
      <c r="A21" s="93" t="s">
        <v>431</v>
      </c>
      <c r="B21" s="94">
        <v>0</v>
      </c>
      <c r="C21" s="95">
        <v>4.4999999999999998E-2</v>
      </c>
      <c r="D21" s="94">
        <v>0</v>
      </c>
      <c r="E21" s="95">
        <v>4.4999999999999998E-2</v>
      </c>
      <c r="F21" s="45">
        <f>C21+B$173</f>
        <v>4.4999999999999998E-2</v>
      </c>
      <c r="G21" s="45">
        <f>E21+B$173</f>
        <v>4.4999999999999998E-2</v>
      </c>
      <c r="H21" s="93" t="s">
        <v>320</v>
      </c>
      <c r="I21" s="96">
        <v>14600</v>
      </c>
      <c r="J21" s="94">
        <v>29200</v>
      </c>
      <c r="K21" s="96">
        <v>5000</v>
      </c>
      <c r="L21" s="94">
        <v>10000</v>
      </c>
      <c r="M21" s="94">
        <v>0</v>
      </c>
      <c r="N21" s="94">
        <v>0</v>
      </c>
      <c r="O21" s="94">
        <v>0</v>
      </c>
      <c r="P21" s="94">
        <v>0</v>
      </c>
      <c r="Q21" t="b">
        <v>1</v>
      </c>
      <c r="R21" t="b">
        <v>1</v>
      </c>
      <c r="S21" t="b">
        <v>1</v>
      </c>
      <c r="T21" s="45">
        <v>0</v>
      </c>
      <c r="U21" t="b">
        <v>1</v>
      </c>
      <c r="V21" t="b">
        <v>1</v>
      </c>
      <c r="W21" t="b">
        <v>1</v>
      </c>
      <c r="X21" t="s">
        <v>495</v>
      </c>
    </row>
    <row r="22" spans="1:24" ht="15.6" x14ac:dyDescent="0.75">
      <c r="A22" s="93" t="s">
        <v>432</v>
      </c>
      <c r="B22" s="94">
        <v>0</v>
      </c>
      <c r="C22" s="93">
        <v>0.02</v>
      </c>
      <c r="D22" s="94">
        <v>0</v>
      </c>
      <c r="E22" s="93">
        <v>0.02</v>
      </c>
      <c r="F22" s="45">
        <f>C22</f>
        <v>0.02</v>
      </c>
      <c r="G22" s="45">
        <f t="shared" si="3"/>
        <v>0.02</v>
      </c>
      <c r="H22" s="93" t="s">
        <v>444</v>
      </c>
      <c r="I22" s="96">
        <v>2550</v>
      </c>
      <c r="J22" s="94">
        <v>5150</v>
      </c>
      <c r="K22" s="96">
        <v>3200</v>
      </c>
      <c r="L22" s="94">
        <v>6400</v>
      </c>
      <c r="M22" s="94">
        <v>0</v>
      </c>
      <c r="N22" s="94">
        <v>0</v>
      </c>
      <c r="O22" s="94">
        <v>0</v>
      </c>
      <c r="P22" s="94">
        <v>0</v>
      </c>
      <c r="Q22" t="b">
        <v>1</v>
      </c>
      <c r="R22" t="b">
        <v>1</v>
      </c>
      <c r="S22" t="b">
        <v>1</v>
      </c>
      <c r="T22" s="45">
        <v>0</v>
      </c>
      <c r="U22" t="b">
        <v>1</v>
      </c>
      <c r="V22" t="b">
        <v>1</v>
      </c>
      <c r="W22" t="b">
        <v>0</v>
      </c>
      <c r="X22" t="s">
        <v>496</v>
      </c>
    </row>
    <row r="23" spans="1:24" ht="15.6" x14ac:dyDescent="0.75">
      <c r="A23" s="93" t="s">
        <v>432</v>
      </c>
      <c r="B23" s="94">
        <v>10000</v>
      </c>
      <c r="C23" s="93">
        <v>4.4999999999999998E-2</v>
      </c>
      <c r="D23" s="94">
        <v>20000</v>
      </c>
      <c r="E23" s="93">
        <v>4.4999999999999998E-2</v>
      </c>
      <c r="F23" s="45">
        <f t="shared" si="2"/>
        <v>4.4999999999999998E-2</v>
      </c>
      <c r="G23" s="45">
        <f t="shared" si="3"/>
        <v>4.4999999999999998E-2</v>
      </c>
      <c r="H23" s="93" t="s">
        <v>445</v>
      </c>
      <c r="I23" s="94">
        <v>0</v>
      </c>
      <c r="J23" s="94">
        <v>0</v>
      </c>
      <c r="K23" s="94">
        <v>4400</v>
      </c>
      <c r="L23" s="94">
        <v>8800</v>
      </c>
      <c r="M23" s="94">
        <v>700</v>
      </c>
      <c r="N23" s="94">
        <v>1400</v>
      </c>
      <c r="O23" s="94">
        <v>0</v>
      </c>
      <c r="P23" s="94">
        <v>0</v>
      </c>
      <c r="Q23" t="b">
        <v>1</v>
      </c>
      <c r="R23" t="b">
        <v>1</v>
      </c>
      <c r="S23" t="b">
        <v>1</v>
      </c>
      <c r="T23" s="45">
        <v>0</v>
      </c>
      <c r="U23" t="b">
        <v>1</v>
      </c>
      <c r="V23" t="b">
        <v>1</v>
      </c>
      <c r="W23" t="b">
        <v>0</v>
      </c>
    </row>
    <row r="24" spans="1:24" ht="15.6" x14ac:dyDescent="0.75">
      <c r="A24" s="93" t="s">
        <v>432</v>
      </c>
      <c r="B24" s="94">
        <v>50000</v>
      </c>
      <c r="C24" s="93">
        <v>5.5E-2</v>
      </c>
      <c r="D24" s="94">
        <v>100000</v>
      </c>
      <c r="E24" s="95">
        <v>5.5E-2</v>
      </c>
      <c r="F24" s="45">
        <f t="shared" si="2"/>
        <v>5.5E-2</v>
      </c>
      <c r="G24" s="45">
        <f t="shared" si="3"/>
        <v>5.5E-2</v>
      </c>
      <c r="H24" s="93" t="s">
        <v>446</v>
      </c>
      <c r="I24" s="94">
        <v>0</v>
      </c>
      <c r="J24" s="94">
        <v>0</v>
      </c>
      <c r="K24" s="96">
        <v>5600</v>
      </c>
      <c r="L24" s="94">
        <v>11200</v>
      </c>
      <c r="M24" s="94">
        <v>0</v>
      </c>
      <c r="N24" s="94">
        <v>0</v>
      </c>
      <c r="O24" s="94">
        <v>0</v>
      </c>
      <c r="P24" s="94">
        <v>0</v>
      </c>
      <c r="Q24" t="b">
        <v>1</v>
      </c>
      <c r="R24" t="b">
        <v>1</v>
      </c>
      <c r="S24" t="b">
        <v>1</v>
      </c>
      <c r="T24" s="45">
        <v>0</v>
      </c>
      <c r="U24" t="b">
        <v>1</v>
      </c>
      <c r="V24" t="b">
        <v>1</v>
      </c>
      <c r="W24" t="b">
        <v>1</v>
      </c>
      <c r="X24" t="s">
        <v>497</v>
      </c>
    </row>
    <row r="25" spans="1:24" ht="15.6" x14ac:dyDescent="0.75">
      <c r="A25" s="93" t="s">
        <v>432</v>
      </c>
      <c r="B25" s="94">
        <v>100000</v>
      </c>
      <c r="C25" s="93">
        <v>0.06</v>
      </c>
      <c r="D25" s="94">
        <v>200000</v>
      </c>
      <c r="E25" s="95">
        <v>0.06</v>
      </c>
      <c r="F25" s="45">
        <f t="shared" si="2"/>
        <v>0.06</v>
      </c>
      <c r="G25" s="45">
        <f t="shared" si="3"/>
        <v>0.06</v>
      </c>
      <c r="H25" s="93" t="s">
        <v>447</v>
      </c>
      <c r="I25" s="96">
        <v>14575</v>
      </c>
      <c r="J25" s="94">
        <v>29150</v>
      </c>
      <c r="K25" s="94">
        <v>0</v>
      </c>
      <c r="L25" s="94">
        <v>0</v>
      </c>
      <c r="M25" s="94">
        <v>0</v>
      </c>
      <c r="N25" s="94">
        <v>0</v>
      </c>
      <c r="O25" s="94">
        <v>0</v>
      </c>
      <c r="P25" s="94">
        <v>0</v>
      </c>
      <c r="Q25" t="b">
        <v>1</v>
      </c>
      <c r="R25" t="b">
        <v>1</v>
      </c>
      <c r="S25" t="b">
        <v>1</v>
      </c>
      <c r="T25" s="45">
        <v>0.85</v>
      </c>
      <c r="U25" t="b">
        <v>1</v>
      </c>
      <c r="V25" t="b">
        <v>1</v>
      </c>
      <c r="W25" t="b">
        <v>1</v>
      </c>
      <c r="X25" t="s">
        <v>498</v>
      </c>
    </row>
    <row r="26" spans="1:24" ht="15.6" x14ac:dyDescent="0.75">
      <c r="A26" s="93" t="s">
        <v>432</v>
      </c>
      <c r="B26" s="94">
        <v>200000</v>
      </c>
      <c r="C26" s="93">
        <v>6.5000000000000002E-2</v>
      </c>
      <c r="D26" s="94">
        <v>400000</v>
      </c>
      <c r="E26" s="95">
        <v>6.5000000000000002E-2</v>
      </c>
      <c r="F26" s="45">
        <f t="shared" si="2"/>
        <v>6.5000000000000002E-2</v>
      </c>
      <c r="G26" s="45">
        <f t="shared" si="3"/>
        <v>6.5000000000000002E-2</v>
      </c>
      <c r="H26" s="93" t="s">
        <v>448</v>
      </c>
      <c r="I26" s="96">
        <v>2300</v>
      </c>
      <c r="J26" s="94">
        <v>4600</v>
      </c>
      <c r="K26" s="96">
        <v>6000</v>
      </c>
      <c r="L26" s="94">
        <v>12000</v>
      </c>
      <c r="M26" s="94">
        <v>0</v>
      </c>
      <c r="N26" s="94">
        <v>0</v>
      </c>
      <c r="O26" s="94">
        <v>0</v>
      </c>
      <c r="P26" s="94">
        <v>0</v>
      </c>
      <c r="Q26" t="b">
        <v>0</v>
      </c>
      <c r="R26" t="b">
        <v>0</v>
      </c>
      <c r="S26" t="b">
        <v>1</v>
      </c>
      <c r="T26" s="45">
        <v>0</v>
      </c>
      <c r="U26" t="b">
        <v>1</v>
      </c>
      <c r="V26" t="b">
        <v>1</v>
      </c>
      <c r="W26" t="b">
        <v>0</v>
      </c>
      <c r="X26" t="s">
        <v>499</v>
      </c>
    </row>
    <row r="27" spans="1:24" ht="15.6" x14ac:dyDescent="0.75">
      <c r="A27" s="93" t="s">
        <v>432</v>
      </c>
      <c r="B27" s="94">
        <v>250000</v>
      </c>
      <c r="C27" s="93">
        <v>6.9000000000000006E-2</v>
      </c>
      <c r="D27" s="94">
        <v>500000</v>
      </c>
      <c r="E27" s="95">
        <v>6.9000000000000006E-2</v>
      </c>
      <c r="F27" s="45">
        <f t="shared" si="2"/>
        <v>6.9000000000000006E-2</v>
      </c>
      <c r="G27" s="45">
        <f t="shared" si="3"/>
        <v>6.9000000000000006E-2</v>
      </c>
      <c r="H27" s="93" t="s">
        <v>449</v>
      </c>
      <c r="I27" s="96">
        <v>14600</v>
      </c>
      <c r="J27" s="94">
        <v>29200</v>
      </c>
      <c r="K27" s="94">
        <v>0</v>
      </c>
      <c r="L27" s="94">
        <v>0</v>
      </c>
      <c r="M27" s="94">
        <v>0</v>
      </c>
      <c r="N27" s="94">
        <v>0</v>
      </c>
      <c r="O27" s="94">
        <v>0</v>
      </c>
      <c r="P27" s="94">
        <v>0</v>
      </c>
      <c r="Q27" t="b">
        <v>1</v>
      </c>
      <c r="R27" t="b">
        <v>1</v>
      </c>
      <c r="S27" t="b">
        <v>1</v>
      </c>
      <c r="T27" s="45">
        <v>0</v>
      </c>
      <c r="U27" t="b">
        <v>1</v>
      </c>
      <c r="V27" t="b">
        <v>1</v>
      </c>
      <c r="W27" t="b">
        <v>1</v>
      </c>
    </row>
    <row r="28" spans="1:24" ht="15.6" x14ac:dyDescent="0.75">
      <c r="A28" s="93" t="s">
        <v>432</v>
      </c>
      <c r="B28" s="94">
        <v>500000</v>
      </c>
      <c r="C28" s="93">
        <v>6.9900000000000004E-2</v>
      </c>
      <c r="D28" s="94">
        <v>1000000</v>
      </c>
      <c r="E28" s="95">
        <v>6.9900000000000004E-2</v>
      </c>
      <c r="F28" s="45">
        <f t="shared" si="2"/>
        <v>6.9900000000000004E-2</v>
      </c>
      <c r="G28" s="45">
        <f t="shared" si="3"/>
        <v>6.9900000000000004E-2</v>
      </c>
      <c r="H28" s="93" t="s">
        <v>450</v>
      </c>
      <c r="I28" s="96">
        <v>14600</v>
      </c>
      <c r="J28" s="94">
        <v>29200</v>
      </c>
      <c r="K28" s="94">
        <v>0</v>
      </c>
      <c r="L28" s="94">
        <v>0</v>
      </c>
      <c r="M28" s="94">
        <v>0</v>
      </c>
      <c r="N28" s="94">
        <v>0</v>
      </c>
      <c r="O28" s="94">
        <v>0</v>
      </c>
      <c r="P28" s="94">
        <v>0</v>
      </c>
      <c r="Q28" t="b">
        <v>1</v>
      </c>
      <c r="R28" t="b">
        <v>1</v>
      </c>
      <c r="S28" t="b">
        <v>1</v>
      </c>
      <c r="T28" s="45">
        <v>0</v>
      </c>
      <c r="U28" t="b">
        <v>1</v>
      </c>
      <c r="V28" t="b">
        <v>1</v>
      </c>
      <c r="W28" t="b">
        <v>1</v>
      </c>
      <c r="X28" t="s">
        <v>500</v>
      </c>
    </row>
    <row r="29" spans="1:24" ht="15.6" x14ac:dyDescent="0.75">
      <c r="A29" s="93" t="s">
        <v>433</v>
      </c>
      <c r="B29" s="94">
        <v>2000</v>
      </c>
      <c r="C29" s="93">
        <v>2.1999999999999999E-2</v>
      </c>
      <c r="D29" s="94">
        <v>2000</v>
      </c>
      <c r="E29" s="95">
        <v>2.1999999999999999E-2</v>
      </c>
      <c r="F29" s="45">
        <f>C29+B$174</f>
        <v>2.3599999999999999E-2</v>
      </c>
      <c r="G29" s="45">
        <f>E29+B$174</f>
        <v>2.3599999999999999E-2</v>
      </c>
      <c r="H29" s="93" t="s">
        <v>451</v>
      </c>
      <c r="I29" s="96">
        <v>7900</v>
      </c>
      <c r="J29" s="94">
        <v>15800</v>
      </c>
      <c r="K29" s="94">
        <v>0</v>
      </c>
      <c r="L29" s="94">
        <v>0</v>
      </c>
      <c r="M29" s="94">
        <v>0</v>
      </c>
      <c r="N29" s="94">
        <v>0</v>
      </c>
      <c r="O29" s="94">
        <v>157</v>
      </c>
      <c r="P29" s="94">
        <v>314</v>
      </c>
      <c r="Q29" t="b">
        <v>1</v>
      </c>
      <c r="R29" t="b">
        <v>1</v>
      </c>
      <c r="S29" t="b">
        <v>1</v>
      </c>
      <c r="T29" s="45">
        <v>0</v>
      </c>
      <c r="U29" t="b">
        <v>1</v>
      </c>
      <c r="V29" t="b">
        <v>1</v>
      </c>
      <c r="W29" t="b">
        <v>1</v>
      </c>
    </row>
    <row r="30" spans="1:24" ht="15.6" x14ac:dyDescent="0.75">
      <c r="A30" s="93" t="s">
        <v>433</v>
      </c>
      <c r="B30" s="94">
        <v>5000</v>
      </c>
      <c r="C30" s="93">
        <v>3.9E-2</v>
      </c>
      <c r="D30" s="94">
        <v>5000</v>
      </c>
      <c r="E30" s="95">
        <v>3.9E-2</v>
      </c>
      <c r="F30" s="45">
        <f t="shared" ref="F30:F34" si="4">C30+B$174</f>
        <v>4.0599999999999997E-2</v>
      </c>
      <c r="G30" s="45">
        <f t="shared" ref="G30:G34" si="5">E30+B$174</f>
        <v>4.0599999999999997E-2</v>
      </c>
      <c r="H30" s="93" t="s">
        <v>452</v>
      </c>
      <c r="I30">
        <v>0</v>
      </c>
      <c r="J30">
        <v>0</v>
      </c>
      <c r="K30">
        <v>0</v>
      </c>
      <c r="L30">
        <v>0</v>
      </c>
      <c r="M30" s="94">
        <v>0</v>
      </c>
      <c r="N30" s="94">
        <v>0</v>
      </c>
      <c r="O30">
        <v>0</v>
      </c>
      <c r="P30">
        <v>0</v>
      </c>
      <c r="Q30" t="b">
        <v>0</v>
      </c>
      <c r="R30" t="b">
        <v>0</v>
      </c>
      <c r="S30" t="b">
        <v>0</v>
      </c>
      <c r="T30" s="45" t="b">
        <v>0</v>
      </c>
      <c r="U30" t="b">
        <v>0</v>
      </c>
      <c r="V30" t="b">
        <v>0</v>
      </c>
      <c r="W30" t="b">
        <v>0</v>
      </c>
    </row>
    <row r="31" spans="1:24" ht="15.6" x14ac:dyDescent="0.75">
      <c r="A31" s="93" t="s">
        <v>433</v>
      </c>
      <c r="B31" s="94">
        <v>10000</v>
      </c>
      <c r="C31" s="93">
        <v>4.8000000000000001E-2</v>
      </c>
      <c r="D31" s="94">
        <v>10000</v>
      </c>
      <c r="E31" s="95">
        <v>4.8000000000000001E-2</v>
      </c>
      <c r="F31" s="45">
        <f t="shared" si="4"/>
        <v>4.9599999999999998E-2</v>
      </c>
      <c r="G31" s="45">
        <f t="shared" si="5"/>
        <v>4.9599999999999998E-2</v>
      </c>
      <c r="H31" s="93" t="s">
        <v>453</v>
      </c>
      <c r="I31" s="94">
        <v>0</v>
      </c>
      <c r="J31" s="94">
        <v>0</v>
      </c>
      <c r="K31" s="96">
        <v>2400</v>
      </c>
      <c r="L31" s="94">
        <v>4800</v>
      </c>
      <c r="M31" s="94">
        <v>0</v>
      </c>
      <c r="N31" s="94">
        <v>0</v>
      </c>
      <c r="O31" s="94">
        <v>0</v>
      </c>
      <c r="P31" s="94">
        <v>0</v>
      </c>
      <c r="Q31" t="b">
        <v>0</v>
      </c>
      <c r="R31" t="b">
        <v>0</v>
      </c>
      <c r="S31" t="b">
        <v>0</v>
      </c>
      <c r="T31" s="45" t="b">
        <v>0</v>
      </c>
      <c r="U31" t="b">
        <v>1</v>
      </c>
      <c r="V31" t="b">
        <v>0</v>
      </c>
      <c r="W31" t="b">
        <v>0</v>
      </c>
    </row>
    <row r="32" spans="1:24" ht="15.6" x14ac:dyDescent="0.75">
      <c r="A32" s="93" t="s">
        <v>433</v>
      </c>
      <c r="B32" s="94">
        <v>20000</v>
      </c>
      <c r="C32" s="93">
        <v>5.1999999999999998E-2</v>
      </c>
      <c r="D32" s="94">
        <v>20000</v>
      </c>
      <c r="E32" s="95">
        <v>5.1999999999999998E-2</v>
      </c>
      <c r="F32" s="45">
        <f t="shared" si="4"/>
        <v>5.3599999999999995E-2</v>
      </c>
      <c r="G32" s="45">
        <f t="shared" si="5"/>
        <v>5.3599999999999995E-2</v>
      </c>
      <c r="H32" s="93" t="s">
        <v>454</v>
      </c>
      <c r="I32" s="94">
        <v>0</v>
      </c>
      <c r="J32" s="94">
        <v>0</v>
      </c>
      <c r="K32" s="96">
        <v>1000</v>
      </c>
      <c r="L32" s="94">
        <v>2000</v>
      </c>
      <c r="M32" s="94">
        <v>0</v>
      </c>
      <c r="N32" s="94">
        <v>0</v>
      </c>
      <c r="O32" s="94">
        <v>0</v>
      </c>
      <c r="P32" s="94">
        <v>0</v>
      </c>
      <c r="Q32" t="b">
        <v>1</v>
      </c>
      <c r="R32" t="b">
        <v>1</v>
      </c>
      <c r="S32" t="b">
        <v>1</v>
      </c>
      <c r="T32" s="45">
        <v>0</v>
      </c>
      <c r="U32" t="b">
        <v>1</v>
      </c>
      <c r="V32" t="b">
        <v>1</v>
      </c>
      <c r="W32" t="b">
        <v>0</v>
      </c>
      <c r="X32" t="s">
        <v>501</v>
      </c>
    </row>
    <row r="33" spans="1:24" ht="15.6" x14ac:dyDescent="0.75">
      <c r="A33" s="93" t="s">
        <v>433</v>
      </c>
      <c r="B33" s="94">
        <v>25000</v>
      </c>
      <c r="C33" s="93">
        <v>5.5500000000000001E-2</v>
      </c>
      <c r="D33" s="94">
        <v>25000</v>
      </c>
      <c r="E33" s="95">
        <v>5.5500000000000001E-2</v>
      </c>
      <c r="F33" s="45">
        <f t="shared" si="4"/>
        <v>5.7099999999999998E-2</v>
      </c>
      <c r="G33" s="45">
        <f t="shared" si="5"/>
        <v>5.7099999999999998E-2</v>
      </c>
      <c r="H33" s="93" t="s">
        <v>455</v>
      </c>
      <c r="I33" s="96">
        <v>14600</v>
      </c>
      <c r="J33" s="94">
        <v>29200</v>
      </c>
      <c r="K33" s="94">
        <v>0</v>
      </c>
      <c r="L33" s="94">
        <v>0</v>
      </c>
      <c r="M33" s="94">
        <v>0</v>
      </c>
      <c r="N33" s="94">
        <v>0</v>
      </c>
      <c r="O33" s="94">
        <v>0</v>
      </c>
      <c r="P33" s="94">
        <v>0</v>
      </c>
      <c r="Q33" t="b">
        <v>1</v>
      </c>
      <c r="R33" t="b">
        <v>1</v>
      </c>
      <c r="S33" t="b">
        <v>1</v>
      </c>
      <c r="T33" s="45">
        <v>0.85</v>
      </c>
      <c r="U33" t="b">
        <v>1</v>
      </c>
      <c r="V33" t="b">
        <v>1</v>
      </c>
      <c r="W33" t="b">
        <v>0</v>
      </c>
      <c r="X33" t="s">
        <v>502</v>
      </c>
    </row>
    <row r="34" spans="1:24" ht="15.6" x14ac:dyDescent="0.75">
      <c r="A34" s="93" t="s">
        <v>433</v>
      </c>
      <c r="B34" s="94">
        <v>60000</v>
      </c>
      <c r="C34" s="93">
        <v>6.6000000000000003E-2</v>
      </c>
      <c r="D34" s="94">
        <v>60000</v>
      </c>
      <c r="E34" s="95">
        <v>6.6000000000000003E-2</v>
      </c>
      <c r="F34" s="45">
        <f t="shared" si="4"/>
        <v>6.7600000000000007E-2</v>
      </c>
      <c r="G34" s="45">
        <f t="shared" si="5"/>
        <v>6.7600000000000007E-2</v>
      </c>
      <c r="H34" s="93" t="s">
        <v>456</v>
      </c>
      <c r="I34" s="96">
        <v>8000</v>
      </c>
      <c r="J34" s="94">
        <v>16050</v>
      </c>
      <c r="K34" s="94">
        <v>0</v>
      </c>
      <c r="L34" s="94">
        <v>0</v>
      </c>
      <c r="M34" s="94">
        <v>20000</v>
      </c>
      <c r="N34" s="94">
        <v>40000</v>
      </c>
      <c r="O34" s="94">
        <v>0</v>
      </c>
      <c r="P34" s="94">
        <v>0</v>
      </c>
      <c r="Q34" t="b">
        <v>1</v>
      </c>
      <c r="R34" t="b">
        <v>1</v>
      </c>
      <c r="S34" t="b">
        <v>1</v>
      </c>
      <c r="T34" s="45">
        <v>0</v>
      </c>
      <c r="U34" t="b">
        <v>1</v>
      </c>
      <c r="V34" t="b">
        <v>1</v>
      </c>
      <c r="W34" t="b">
        <v>0</v>
      </c>
      <c r="X34" t="s">
        <v>503</v>
      </c>
    </row>
    <row r="35" spans="1:24" ht="15.6" x14ac:dyDescent="0.75">
      <c r="A35" s="93" t="s">
        <v>434</v>
      </c>
      <c r="B35" s="94">
        <v>0</v>
      </c>
      <c r="C35" s="93">
        <v>0</v>
      </c>
      <c r="D35" s="94">
        <v>0</v>
      </c>
      <c r="E35" s="95">
        <v>0</v>
      </c>
      <c r="F35" s="45">
        <f t="shared" ref="F35:F50" si="6">C35</f>
        <v>0</v>
      </c>
      <c r="G35" s="45">
        <f t="shared" ref="G35:G50" si="7">E35</f>
        <v>0</v>
      </c>
      <c r="H35" s="93" t="s">
        <v>477</v>
      </c>
      <c r="I35" s="96">
        <v>12750</v>
      </c>
      <c r="J35" s="96">
        <v>25500</v>
      </c>
      <c r="K35" s="94">
        <v>0</v>
      </c>
      <c r="L35" s="94">
        <v>0</v>
      </c>
      <c r="M35" s="94">
        <v>0</v>
      </c>
      <c r="N35" s="94">
        <v>0</v>
      </c>
      <c r="O35" s="94">
        <v>0</v>
      </c>
      <c r="P35" s="94">
        <v>0</v>
      </c>
      <c r="Q35" t="b">
        <v>1</v>
      </c>
      <c r="R35" t="b">
        <v>1</v>
      </c>
      <c r="S35" t="b">
        <v>1</v>
      </c>
      <c r="T35" s="45">
        <v>0</v>
      </c>
      <c r="U35" t="b">
        <v>1</v>
      </c>
      <c r="V35" t="b">
        <v>1</v>
      </c>
      <c r="W35" t="b">
        <v>1</v>
      </c>
    </row>
    <row r="36" spans="1:24" ht="15.6" x14ac:dyDescent="0.75">
      <c r="A36" s="93" t="s">
        <v>435</v>
      </c>
      <c r="B36" s="94">
        <v>0</v>
      </c>
      <c r="C36" s="93">
        <v>5.4899999999999997E-2</v>
      </c>
      <c r="D36" s="94">
        <v>0</v>
      </c>
      <c r="E36" s="93">
        <v>5.4899999999999997E-2</v>
      </c>
      <c r="F36" s="45">
        <f t="shared" si="6"/>
        <v>5.4899999999999997E-2</v>
      </c>
      <c r="G36" s="45">
        <f t="shared" si="7"/>
        <v>5.4899999999999997E-2</v>
      </c>
      <c r="H36" s="93" t="s">
        <v>457</v>
      </c>
      <c r="I36" s="96">
        <v>14600</v>
      </c>
      <c r="J36" s="94">
        <v>29200</v>
      </c>
      <c r="K36" s="94">
        <v>0</v>
      </c>
      <c r="L36" s="94">
        <v>0</v>
      </c>
      <c r="M36" s="94">
        <v>0</v>
      </c>
      <c r="N36" s="94">
        <v>0</v>
      </c>
      <c r="O36" s="94">
        <v>0</v>
      </c>
      <c r="P36" s="94">
        <v>0</v>
      </c>
      <c r="Q36" t="b">
        <v>1</v>
      </c>
      <c r="R36" t="b">
        <v>1</v>
      </c>
      <c r="S36" t="b">
        <v>1</v>
      </c>
      <c r="T36" s="45">
        <v>0</v>
      </c>
      <c r="U36" t="b">
        <v>1</v>
      </c>
      <c r="V36" t="b">
        <v>1</v>
      </c>
      <c r="W36" t="b">
        <v>1</v>
      </c>
    </row>
    <row r="37" spans="1:24" ht="15.6" x14ac:dyDescent="0.75">
      <c r="A37" s="93" t="s">
        <v>436</v>
      </c>
      <c r="B37" s="94">
        <v>0</v>
      </c>
      <c r="C37" s="93">
        <v>1.4E-2</v>
      </c>
      <c r="D37" s="94">
        <v>0</v>
      </c>
      <c r="E37" s="95">
        <v>1.4E-2</v>
      </c>
      <c r="F37" s="45">
        <f t="shared" si="6"/>
        <v>1.4E-2</v>
      </c>
      <c r="G37" s="45">
        <f t="shared" si="7"/>
        <v>1.4E-2</v>
      </c>
      <c r="H37" s="93" t="s">
        <v>458</v>
      </c>
      <c r="I37" s="94">
        <v>0</v>
      </c>
      <c r="J37" s="94">
        <v>0</v>
      </c>
      <c r="K37" s="96">
        <v>2400</v>
      </c>
      <c r="L37" s="96">
        <v>4800</v>
      </c>
      <c r="M37">
        <v>0</v>
      </c>
      <c r="N37">
        <v>0</v>
      </c>
      <c r="O37">
        <v>0</v>
      </c>
      <c r="P37" s="8">
        <v>0</v>
      </c>
      <c r="Q37" t="b">
        <v>1</v>
      </c>
      <c r="R37" t="b">
        <v>1</v>
      </c>
      <c r="S37" t="b">
        <v>1</v>
      </c>
      <c r="T37" s="45">
        <v>0</v>
      </c>
      <c r="U37" t="b">
        <v>1</v>
      </c>
      <c r="V37" t="b">
        <v>1</v>
      </c>
      <c r="W37" t="b">
        <v>1</v>
      </c>
    </row>
    <row r="38" spans="1:24" ht="15.6" x14ac:dyDescent="0.75">
      <c r="A38" s="93" t="s">
        <v>436</v>
      </c>
      <c r="B38" s="94">
        <v>2400</v>
      </c>
      <c r="C38" s="93">
        <v>3.2000000000000001E-2</v>
      </c>
      <c r="D38" s="94">
        <v>4800</v>
      </c>
      <c r="E38" s="95">
        <v>3.2000000000000001E-2</v>
      </c>
      <c r="F38" s="45">
        <f t="shared" si="6"/>
        <v>3.2000000000000001E-2</v>
      </c>
      <c r="G38" s="45">
        <f t="shared" si="7"/>
        <v>3.2000000000000001E-2</v>
      </c>
      <c r="H38" s="93" t="s">
        <v>459</v>
      </c>
      <c r="I38" s="96">
        <v>6350</v>
      </c>
      <c r="J38" s="94">
        <v>12700</v>
      </c>
      <c r="K38" s="96">
        <v>1000</v>
      </c>
      <c r="L38" s="94">
        <v>2000</v>
      </c>
      <c r="M38" s="94">
        <v>10000</v>
      </c>
      <c r="N38" s="94">
        <v>20000</v>
      </c>
      <c r="O38" s="94">
        <v>0</v>
      </c>
      <c r="P38" s="94">
        <v>0</v>
      </c>
      <c r="Q38" t="b">
        <v>1</v>
      </c>
      <c r="R38" t="b">
        <v>1</v>
      </c>
      <c r="S38" t="b">
        <v>1</v>
      </c>
      <c r="T38" s="45">
        <v>0</v>
      </c>
      <c r="U38" t="b">
        <v>1</v>
      </c>
      <c r="V38" t="b">
        <v>1</v>
      </c>
      <c r="W38" t="b">
        <v>0</v>
      </c>
    </row>
    <row r="39" spans="1:24" ht="15.6" x14ac:dyDescent="0.75">
      <c r="A39" s="93" t="s">
        <v>436</v>
      </c>
      <c r="B39" s="94">
        <v>4800</v>
      </c>
      <c r="C39" s="93">
        <v>5.5E-2</v>
      </c>
      <c r="D39" s="94">
        <v>9600</v>
      </c>
      <c r="E39" s="95">
        <v>5.5E-2</v>
      </c>
      <c r="F39" s="45">
        <f t="shared" si="6"/>
        <v>5.5E-2</v>
      </c>
      <c r="G39" s="45">
        <f t="shared" si="7"/>
        <v>5.5E-2</v>
      </c>
      <c r="H39" s="93" t="s">
        <v>460</v>
      </c>
      <c r="I39" s="96">
        <v>2745</v>
      </c>
      <c r="J39" s="94">
        <v>5495</v>
      </c>
      <c r="K39" s="94">
        <v>0</v>
      </c>
      <c r="L39" s="94">
        <v>0</v>
      </c>
      <c r="M39" s="94">
        <v>0</v>
      </c>
      <c r="N39" s="94">
        <v>0</v>
      </c>
      <c r="O39" s="94">
        <v>249</v>
      </c>
      <c r="P39" s="94">
        <v>498</v>
      </c>
      <c r="Q39" t="b">
        <v>1</v>
      </c>
      <c r="R39" t="b">
        <v>1</v>
      </c>
      <c r="S39" t="b">
        <v>1</v>
      </c>
      <c r="T39" s="45">
        <v>0</v>
      </c>
      <c r="U39" t="b">
        <v>1</v>
      </c>
      <c r="V39" t="b">
        <v>1</v>
      </c>
      <c r="W39" t="b">
        <v>1</v>
      </c>
    </row>
    <row r="40" spans="1:24" ht="15.6" x14ac:dyDescent="0.75">
      <c r="A40" s="93" t="s">
        <v>436</v>
      </c>
      <c r="B40" s="94">
        <v>9600</v>
      </c>
      <c r="C40" s="93">
        <v>6.4000000000000001E-2</v>
      </c>
      <c r="D40" s="94">
        <v>19200</v>
      </c>
      <c r="E40" s="95">
        <v>6.4000000000000001E-2</v>
      </c>
      <c r="F40" s="45">
        <f t="shared" si="6"/>
        <v>6.4000000000000001E-2</v>
      </c>
      <c r="G40" s="45">
        <f t="shared" si="7"/>
        <v>6.4000000000000001E-2</v>
      </c>
      <c r="H40" s="93" t="s">
        <v>461</v>
      </c>
      <c r="I40">
        <v>0</v>
      </c>
      <c r="J40">
        <v>0</v>
      </c>
      <c r="K40">
        <v>0</v>
      </c>
      <c r="L40">
        <v>0</v>
      </c>
      <c r="M40" s="94">
        <v>0</v>
      </c>
      <c r="N40" s="94">
        <v>0</v>
      </c>
      <c r="O40">
        <v>0</v>
      </c>
      <c r="P40">
        <v>0</v>
      </c>
      <c r="Q40" t="b">
        <v>0</v>
      </c>
      <c r="R40" t="b">
        <v>0</v>
      </c>
      <c r="S40" t="b">
        <v>1</v>
      </c>
      <c r="T40" s="45">
        <v>0</v>
      </c>
      <c r="U40" t="b">
        <v>1</v>
      </c>
      <c r="V40" t="b">
        <v>1</v>
      </c>
      <c r="W40" t="b">
        <v>1</v>
      </c>
    </row>
    <row r="41" spans="1:24" ht="15.6" x14ac:dyDescent="0.75">
      <c r="A41" s="93" t="s">
        <v>436</v>
      </c>
      <c r="B41" s="94">
        <v>14400</v>
      </c>
      <c r="C41" s="93">
        <v>6.8000000000000005E-2</v>
      </c>
      <c r="D41" s="94">
        <v>28800</v>
      </c>
      <c r="E41" s="95">
        <v>6.8000000000000005E-2</v>
      </c>
      <c r="F41" s="45">
        <f t="shared" si="6"/>
        <v>6.8000000000000005E-2</v>
      </c>
      <c r="G41" s="45">
        <f t="shared" si="7"/>
        <v>6.8000000000000005E-2</v>
      </c>
      <c r="H41" s="93" t="s">
        <v>462</v>
      </c>
      <c r="I41" s="96">
        <v>10550</v>
      </c>
      <c r="J41" s="94">
        <v>21150</v>
      </c>
      <c r="K41" s="96">
        <v>4950</v>
      </c>
      <c r="L41" s="94">
        <v>9900</v>
      </c>
      <c r="M41" s="94">
        <v>0</v>
      </c>
      <c r="N41" s="94">
        <v>0</v>
      </c>
      <c r="O41" s="94">
        <v>0</v>
      </c>
      <c r="P41" s="94">
        <v>0</v>
      </c>
      <c r="Q41" t="b">
        <v>1</v>
      </c>
      <c r="R41" t="b">
        <v>1</v>
      </c>
      <c r="S41" t="b">
        <v>1</v>
      </c>
      <c r="T41" s="45">
        <v>0.85</v>
      </c>
      <c r="U41" t="b">
        <v>1</v>
      </c>
      <c r="V41" t="b">
        <v>1</v>
      </c>
      <c r="W41" t="b">
        <v>1</v>
      </c>
      <c r="X41" t="s">
        <v>504</v>
      </c>
    </row>
    <row r="42" spans="1:24" ht="15.6" x14ac:dyDescent="0.75">
      <c r="A42" s="93" t="s">
        <v>436</v>
      </c>
      <c r="B42" s="94">
        <v>19200</v>
      </c>
      <c r="C42" s="93">
        <v>7.1999999999999995E-2</v>
      </c>
      <c r="D42" s="94">
        <v>38400</v>
      </c>
      <c r="E42" s="95">
        <v>7.1999999999999995E-2</v>
      </c>
      <c r="F42" s="45">
        <f t="shared" si="6"/>
        <v>7.1999999999999995E-2</v>
      </c>
      <c r="G42" s="45">
        <f t="shared" si="7"/>
        <v>7.1999999999999995E-2</v>
      </c>
      <c r="H42" s="93" t="s">
        <v>464</v>
      </c>
      <c r="I42" s="96">
        <v>14600</v>
      </c>
      <c r="J42" s="94">
        <v>29200</v>
      </c>
      <c r="K42" s="94">
        <v>0</v>
      </c>
      <c r="L42" s="94">
        <v>0</v>
      </c>
      <c r="M42" s="94">
        <v>15000</v>
      </c>
      <c r="N42" s="94">
        <v>30000</v>
      </c>
      <c r="O42" s="94">
        <v>0</v>
      </c>
      <c r="P42" s="94">
        <v>0</v>
      </c>
      <c r="Q42" t="b">
        <v>0</v>
      </c>
      <c r="R42" t="b">
        <v>0</v>
      </c>
      <c r="S42" t="b">
        <v>1</v>
      </c>
      <c r="T42" s="45">
        <v>0</v>
      </c>
      <c r="U42" t="b">
        <v>1</v>
      </c>
      <c r="V42" t="b">
        <v>1</v>
      </c>
      <c r="W42" t="b">
        <v>1</v>
      </c>
    </row>
    <row r="43" spans="1:24" ht="15.6" x14ac:dyDescent="0.75">
      <c r="A43" s="93" t="s">
        <v>436</v>
      </c>
      <c r="B43" s="94">
        <v>24000</v>
      </c>
      <c r="C43" s="93">
        <v>7.5999999999999998E-2</v>
      </c>
      <c r="D43" s="94">
        <v>48000</v>
      </c>
      <c r="E43" s="95">
        <v>7.5999999999999998E-2</v>
      </c>
      <c r="F43" s="45">
        <f t="shared" si="6"/>
        <v>7.5999999999999998E-2</v>
      </c>
      <c r="G43" s="45">
        <f t="shared" si="7"/>
        <v>7.5999999999999998E-2</v>
      </c>
      <c r="H43" s="93" t="s">
        <v>463</v>
      </c>
      <c r="I43">
        <v>0</v>
      </c>
      <c r="J43">
        <v>0</v>
      </c>
      <c r="K43">
        <v>0</v>
      </c>
      <c r="L43">
        <v>0</v>
      </c>
      <c r="M43" s="94">
        <v>0</v>
      </c>
      <c r="N43" s="94">
        <v>0</v>
      </c>
      <c r="O43">
        <v>0</v>
      </c>
      <c r="P43">
        <v>0</v>
      </c>
      <c r="Q43" t="b">
        <v>0</v>
      </c>
      <c r="R43" t="b">
        <v>0</v>
      </c>
      <c r="S43" t="b">
        <v>0</v>
      </c>
      <c r="T43" s="45">
        <v>0</v>
      </c>
      <c r="U43" t="b">
        <v>0</v>
      </c>
      <c r="V43" t="b">
        <v>0</v>
      </c>
      <c r="W43" t="b">
        <v>0</v>
      </c>
    </row>
    <row r="44" spans="1:24" ht="15.6" x14ac:dyDescent="0.75">
      <c r="A44" s="93" t="s">
        <v>436</v>
      </c>
      <c r="B44" s="94">
        <v>36000</v>
      </c>
      <c r="C44" s="93">
        <v>7.9000000000000001E-2</v>
      </c>
      <c r="D44" s="94">
        <v>72000</v>
      </c>
      <c r="E44" s="95">
        <v>7.9000000000000001E-2</v>
      </c>
      <c r="F44" s="45">
        <f t="shared" si="6"/>
        <v>7.9000000000000001E-2</v>
      </c>
      <c r="G44" s="45">
        <f t="shared" si="7"/>
        <v>7.9000000000000001E-2</v>
      </c>
      <c r="H44" s="93" t="s">
        <v>465</v>
      </c>
      <c r="I44">
        <v>0</v>
      </c>
      <c r="J44">
        <v>0</v>
      </c>
      <c r="K44">
        <v>0</v>
      </c>
      <c r="L44">
        <v>0</v>
      </c>
      <c r="M44" s="94">
        <v>0</v>
      </c>
      <c r="N44" s="94">
        <v>0</v>
      </c>
      <c r="O44">
        <v>0</v>
      </c>
      <c r="P44">
        <v>0</v>
      </c>
      <c r="Q44" t="b">
        <v>0</v>
      </c>
      <c r="R44" t="b">
        <v>0</v>
      </c>
      <c r="S44" t="b">
        <v>0</v>
      </c>
      <c r="T44" s="45">
        <v>0</v>
      </c>
      <c r="U44" t="b">
        <v>0</v>
      </c>
      <c r="V44" t="b">
        <v>0</v>
      </c>
      <c r="W44" t="b">
        <v>0</v>
      </c>
    </row>
    <row r="45" spans="1:24" ht="15.6" x14ac:dyDescent="0.75">
      <c r="A45" s="93" t="s">
        <v>436</v>
      </c>
      <c r="B45" s="94">
        <v>48000</v>
      </c>
      <c r="C45" s="93">
        <v>8.2500000000000004E-2</v>
      </c>
      <c r="D45" s="94">
        <v>96000</v>
      </c>
      <c r="E45" s="95">
        <v>8.2500000000000004E-2</v>
      </c>
      <c r="F45" s="45">
        <f t="shared" si="6"/>
        <v>8.2500000000000004E-2</v>
      </c>
      <c r="G45" s="45">
        <f t="shared" si="7"/>
        <v>8.2500000000000004E-2</v>
      </c>
      <c r="H45" s="93" t="s">
        <v>466</v>
      </c>
      <c r="I45">
        <v>0</v>
      </c>
      <c r="J45">
        <v>0</v>
      </c>
      <c r="K45">
        <v>0</v>
      </c>
      <c r="L45">
        <v>0</v>
      </c>
      <c r="M45" s="94">
        <v>0</v>
      </c>
      <c r="N45" s="94">
        <v>0</v>
      </c>
      <c r="O45">
        <v>0</v>
      </c>
      <c r="P45">
        <v>0</v>
      </c>
      <c r="Q45" t="b">
        <v>0</v>
      </c>
      <c r="R45" t="b">
        <v>0</v>
      </c>
      <c r="S45" t="b">
        <v>0</v>
      </c>
      <c r="T45" s="45">
        <v>0</v>
      </c>
      <c r="U45" t="b">
        <v>0</v>
      </c>
      <c r="V45" t="b">
        <v>0</v>
      </c>
      <c r="W45" t="b">
        <v>0</v>
      </c>
    </row>
    <row r="46" spans="1:24" ht="15.6" x14ac:dyDescent="0.75">
      <c r="A46" s="93" t="s">
        <v>436</v>
      </c>
      <c r="B46" s="94">
        <v>150000</v>
      </c>
      <c r="C46" s="93">
        <v>0.09</v>
      </c>
      <c r="D46" s="94">
        <v>300000</v>
      </c>
      <c r="E46" s="95">
        <v>0.09</v>
      </c>
      <c r="F46" s="45">
        <f t="shared" si="6"/>
        <v>0.09</v>
      </c>
      <c r="G46" s="45">
        <f t="shared" si="7"/>
        <v>0.09</v>
      </c>
      <c r="H46" s="93" t="s">
        <v>467</v>
      </c>
      <c r="I46">
        <v>0</v>
      </c>
      <c r="J46">
        <v>0</v>
      </c>
      <c r="K46">
        <v>0</v>
      </c>
      <c r="L46">
        <v>0</v>
      </c>
      <c r="M46" s="94">
        <v>0</v>
      </c>
      <c r="N46" s="94">
        <v>0</v>
      </c>
      <c r="O46">
        <v>0</v>
      </c>
      <c r="P46">
        <v>0</v>
      </c>
      <c r="Q46" t="b">
        <v>1</v>
      </c>
      <c r="R46" t="b">
        <v>1</v>
      </c>
      <c r="S46" t="b">
        <v>1</v>
      </c>
      <c r="T46" s="45">
        <v>0.85</v>
      </c>
      <c r="U46" t="b">
        <v>1</v>
      </c>
      <c r="V46" t="b">
        <v>1</v>
      </c>
      <c r="W46" t="b">
        <v>1</v>
      </c>
      <c r="X46" t="s">
        <v>505</v>
      </c>
    </row>
    <row r="47" spans="1:24" ht="15.6" x14ac:dyDescent="0.75">
      <c r="A47" s="93" t="s">
        <v>436</v>
      </c>
      <c r="B47" s="94">
        <v>175000</v>
      </c>
      <c r="C47" s="93">
        <v>0.1</v>
      </c>
      <c r="D47" s="94">
        <v>350000</v>
      </c>
      <c r="E47" s="95">
        <v>0.1</v>
      </c>
      <c r="F47" s="45">
        <f t="shared" si="6"/>
        <v>0.1</v>
      </c>
      <c r="G47" s="45">
        <f t="shared" si="7"/>
        <v>0.1</v>
      </c>
      <c r="H47" s="93" t="s">
        <v>468</v>
      </c>
      <c r="I47" s="96">
        <v>7000</v>
      </c>
      <c r="J47" s="94">
        <v>14050</v>
      </c>
      <c r="K47" s="96">
        <v>4850</v>
      </c>
      <c r="L47" s="94">
        <v>9700</v>
      </c>
      <c r="M47" s="94">
        <v>0</v>
      </c>
      <c r="N47" s="94">
        <v>0</v>
      </c>
      <c r="O47" s="94">
        <v>0</v>
      </c>
      <c r="P47" s="94">
        <v>0</v>
      </c>
      <c r="Q47" t="b">
        <v>1</v>
      </c>
      <c r="R47" t="b">
        <v>1</v>
      </c>
      <c r="S47" t="b">
        <v>1</v>
      </c>
      <c r="T47" s="45">
        <v>0.85</v>
      </c>
      <c r="U47" t="b">
        <v>1</v>
      </c>
      <c r="V47" t="b">
        <v>1</v>
      </c>
      <c r="W47" t="b">
        <v>1</v>
      </c>
      <c r="X47" t="s">
        <v>506</v>
      </c>
    </row>
    <row r="48" spans="1:24" ht="15.6" x14ac:dyDescent="0.75">
      <c r="A48" s="93" t="s">
        <v>436</v>
      </c>
      <c r="B48" s="94">
        <v>200000</v>
      </c>
      <c r="C48" s="93">
        <v>0.11</v>
      </c>
      <c r="D48" s="94">
        <v>400000</v>
      </c>
      <c r="E48" s="93">
        <v>0.11</v>
      </c>
      <c r="F48" s="45">
        <f t="shared" si="6"/>
        <v>0.11</v>
      </c>
      <c r="G48" s="45">
        <f t="shared" si="7"/>
        <v>0.11</v>
      </c>
      <c r="H48" s="93" t="s">
        <v>469</v>
      </c>
      <c r="I48" s="96">
        <v>8000</v>
      </c>
      <c r="J48" s="94">
        <v>16000</v>
      </c>
      <c r="K48" s="96">
        <v>930</v>
      </c>
      <c r="L48" s="94">
        <v>1860</v>
      </c>
      <c r="M48" s="94">
        <v>0</v>
      </c>
      <c r="N48" s="94">
        <v>0</v>
      </c>
      <c r="O48" s="94">
        <v>0</v>
      </c>
      <c r="P48" s="94">
        <v>0</v>
      </c>
      <c r="Q48" t="b">
        <v>1</v>
      </c>
      <c r="R48" t="b">
        <v>1</v>
      </c>
      <c r="S48" t="b">
        <v>1</v>
      </c>
      <c r="T48" s="45">
        <v>0</v>
      </c>
      <c r="U48" t="b">
        <v>1</v>
      </c>
      <c r="V48" t="b">
        <v>1</v>
      </c>
      <c r="W48" t="b">
        <v>0</v>
      </c>
    </row>
    <row r="49" spans="1:24" ht="15.6" x14ac:dyDescent="0.75">
      <c r="A49" s="93" t="s">
        <v>437</v>
      </c>
      <c r="B49" s="94">
        <v>4489</v>
      </c>
      <c r="C49" s="113">
        <v>5.8000000000000003E-2</v>
      </c>
      <c r="D49" s="94">
        <v>8978</v>
      </c>
      <c r="E49" s="113">
        <v>5.8000000000000003E-2</v>
      </c>
      <c r="F49" s="45">
        <f t="shared" si="6"/>
        <v>5.8000000000000003E-2</v>
      </c>
      <c r="G49" s="45">
        <f t="shared" si="7"/>
        <v>5.8000000000000003E-2</v>
      </c>
      <c r="H49" s="93" t="s">
        <v>470</v>
      </c>
      <c r="I49" s="96">
        <v>250000</v>
      </c>
      <c r="J49" s="101">
        <v>250000</v>
      </c>
      <c r="K49">
        <v>0</v>
      </c>
      <c r="L49">
        <v>0</v>
      </c>
      <c r="M49" s="94">
        <v>0</v>
      </c>
      <c r="N49" s="94">
        <v>0</v>
      </c>
      <c r="O49">
        <v>0</v>
      </c>
      <c r="P49">
        <v>0</v>
      </c>
      <c r="Q49" t="b">
        <v>0</v>
      </c>
      <c r="R49" t="b">
        <v>0</v>
      </c>
      <c r="S49" t="b">
        <v>0</v>
      </c>
      <c r="T49" s="45">
        <v>0</v>
      </c>
      <c r="U49" t="b">
        <v>0</v>
      </c>
      <c r="V49" t="b">
        <v>1</v>
      </c>
      <c r="W49" t="b">
        <v>0</v>
      </c>
      <c r="X49" t="s">
        <v>507</v>
      </c>
    </row>
    <row r="50" spans="1:24" ht="15.6" x14ac:dyDescent="0.75">
      <c r="A50" s="93" t="s">
        <v>440</v>
      </c>
      <c r="B50" s="94">
        <v>0</v>
      </c>
      <c r="C50" s="93">
        <v>4.9500000000000002E-2</v>
      </c>
      <c r="D50" s="94">
        <v>0</v>
      </c>
      <c r="E50" s="93">
        <v>4.9500000000000002E-2</v>
      </c>
      <c r="F50" s="45">
        <f t="shared" si="6"/>
        <v>4.9500000000000002E-2</v>
      </c>
      <c r="G50" s="45">
        <f t="shared" si="7"/>
        <v>4.9500000000000002E-2</v>
      </c>
      <c r="H50" s="93" t="s">
        <v>471</v>
      </c>
      <c r="I50" s="94">
        <v>0</v>
      </c>
      <c r="J50">
        <v>0</v>
      </c>
      <c r="K50" s="96">
        <v>2000</v>
      </c>
      <c r="L50" s="94">
        <v>4000</v>
      </c>
      <c r="M50" s="94">
        <v>0</v>
      </c>
      <c r="N50" s="94">
        <v>0</v>
      </c>
      <c r="O50" s="94">
        <v>0</v>
      </c>
      <c r="P50" s="94">
        <v>0</v>
      </c>
      <c r="Q50" t="b">
        <v>1</v>
      </c>
      <c r="R50" t="b">
        <v>1</v>
      </c>
      <c r="S50" t="b">
        <v>1</v>
      </c>
      <c r="T50" s="45">
        <v>0</v>
      </c>
      <c r="U50" t="b">
        <v>1</v>
      </c>
      <c r="V50" t="b">
        <v>1</v>
      </c>
      <c r="W50" t="b">
        <v>0</v>
      </c>
    </row>
    <row r="51" spans="1:24" ht="15.6" x14ac:dyDescent="0.75">
      <c r="A51" s="93" t="s">
        <v>438</v>
      </c>
      <c r="B51" s="94">
        <v>0</v>
      </c>
      <c r="C51" s="93">
        <v>3.0499999999999999E-2</v>
      </c>
      <c r="D51" s="94">
        <v>0</v>
      </c>
      <c r="E51" s="93">
        <v>3.0499999999999999E-2</v>
      </c>
      <c r="F51" s="45">
        <f>C51+B$175</f>
        <v>3.6699999999999997E-2</v>
      </c>
      <c r="G51" s="45">
        <f>E51+B$175</f>
        <v>3.6699999999999997E-2</v>
      </c>
      <c r="H51" s="93" t="s">
        <v>472</v>
      </c>
      <c r="I51" s="96">
        <v>13230</v>
      </c>
      <c r="J51" s="94">
        <v>24490</v>
      </c>
      <c r="K51" s="96">
        <v>700</v>
      </c>
      <c r="L51" s="94">
        <v>1400</v>
      </c>
      <c r="M51" s="94">
        <v>0</v>
      </c>
      <c r="N51" s="94">
        <v>0</v>
      </c>
      <c r="O51" s="94">
        <v>0</v>
      </c>
      <c r="P51" s="94">
        <v>0</v>
      </c>
      <c r="Q51" t="b">
        <v>1</v>
      </c>
      <c r="R51" t="b">
        <v>1</v>
      </c>
      <c r="S51" t="b">
        <v>1</v>
      </c>
      <c r="T51" s="45">
        <v>0</v>
      </c>
      <c r="U51" t="b">
        <v>1</v>
      </c>
      <c r="V51" t="b">
        <v>1</v>
      </c>
      <c r="W51" t="b">
        <v>1</v>
      </c>
    </row>
    <row r="52" spans="1:24" ht="15.6" x14ac:dyDescent="0.75">
      <c r="A52" s="93" t="s">
        <v>309</v>
      </c>
      <c r="B52" s="94">
        <v>0</v>
      </c>
      <c r="C52" s="93">
        <v>4.3999999999999997E-2</v>
      </c>
      <c r="D52" s="94">
        <v>0</v>
      </c>
      <c r="E52" s="93">
        <v>4.3999999999999997E-2</v>
      </c>
      <c r="F52" s="45">
        <f>C52+B$176</f>
        <v>4.5099999999999994E-2</v>
      </c>
      <c r="G52" s="45">
        <f>E52+B$176</f>
        <v>4.5099999999999994E-2</v>
      </c>
      <c r="H52" s="93" t="s">
        <v>473</v>
      </c>
      <c r="I52">
        <v>0</v>
      </c>
      <c r="J52">
        <v>0</v>
      </c>
      <c r="K52">
        <v>0</v>
      </c>
      <c r="L52">
        <v>0</v>
      </c>
      <c r="M52" s="94">
        <v>0</v>
      </c>
      <c r="N52" s="94">
        <v>0</v>
      </c>
      <c r="O52">
        <v>0</v>
      </c>
      <c r="P52">
        <v>0</v>
      </c>
      <c r="Q52" t="b">
        <v>0</v>
      </c>
      <c r="R52" t="b">
        <v>0</v>
      </c>
      <c r="S52" t="b">
        <v>0</v>
      </c>
      <c r="T52" s="45">
        <v>0</v>
      </c>
      <c r="U52" t="b">
        <v>0</v>
      </c>
      <c r="V52" t="b">
        <v>0</v>
      </c>
      <c r="W52" t="b">
        <v>0</v>
      </c>
    </row>
    <row r="53" spans="1:24" ht="15.6" x14ac:dyDescent="0.75">
      <c r="A53" s="93" t="s">
        <v>309</v>
      </c>
      <c r="B53" s="94">
        <v>6210</v>
      </c>
      <c r="C53" s="93">
        <v>4.82E-2</v>
      </c>
      <c r="D53" s="94">
        <v>12420</v>
      </c>
      <c r="E53" s="93">
        <v>4.82E-2</v>
      </c>
      <c r="F53" s="45">
        <f t="shared" ref="F53:F54" si="8">C53+B$176</f>
        <v>4.9299999999999997E-2</v>
      </c>
      <c r="G53" s="45">
        <f t="shared" ref="G53:G54" si="9">E53+B$176</f>
        <v>4.9299999999999997E-2</v>
      </c>
      <c r="H53" s="93" t="s">
        <v>474</v>
      </c>
      <c r="I53" s="96">
        <v>13850</v>
      </c>
      <c r="J53" s="94">
        <v>27700</v>
      </c>
      <c r="K53" s="94">
        <v>0</v>
      </c>
      <c r="L53" s="94">
        <v>0</v>
      </c>
      <c r="M53" s="94">
        <v>1500</v>
      </c>
      <c r="N53" s="94">
        <v>3000</v>
      </c>
      <c r="O53" s="94">
        <v>0</v>
      </c>
      <c r="P53" s="94">
        <v>0</v>
      </c>
      <c r="Q53" t="b">
        <v>0</v>
      </c>
      <c r="R53" t="b">
        <v>0</v>
      </c>
      <c r="S53" t="b">
        <v>0</v>
      </c>
      <c r="T53" s="45">
        <v>0</v>
      </c>
      <c r="U53" t="b">
        <v>0</v>
      </c>
      <c r="V53" t="b">
        <v>0</v>
      </c>
      <c r="W53" t="b">
        <v>0</v>
      </c>
    </row>
    <row r="54" spans="1:24" ht="15.6" x14ac:dyDescent="0.75">
      <c r="A54" s="93" t="s">
        <v>309</v>
      </c>
      <c r="B54" s="94">
        <v>31050</v>
      </c>
      <c r="C54" s="93">
        <v>5.7000000000000002E-2</v>
      </c>
      <c r="D54" s="94">
        <v>62100</v>
      </c>
      <c r="E54" s="93">
        <v>5.7000000000000002E-2</v>
      </c>
      <c r="F54" s="45">
        <f t="shared" si="8"/>
        <v>5.8099999999999999E-2</v>
      </c>
      <c r="G54" s="45">
        <f t="shared" si="9"/>
        <v>5.8099999999999999E-2</v>
      </c>
    </row>
    <row r="55" spans="1:24" ht="15.6" x14ac:dyDescent="0.75">
      <c r="A55" s="93" t="s">
        <v>441</v>
      </c>
      <c r="B55" s="94">
        <v>0</v>
      </c>
      <c r="C55" s="93">
        <v>3.1E-2</v>
      </c>
      <c r="D55" s="94">
        <v>0</v>
      </c>
      <c r="E55" s="93">
        <v>3.1E-2</v>
      </c>
      <c r="F55" s="45">
        <f t="shared" ref="F55:F64" si="10">C55</f>
        <v>3.1E-2</v>
      </c>
      <c r="G55" s="45">
        <f t="shared" ref="G55:G57" si="11">E55</f>
        <v>3.1E-2</v>
      </c>
    </row>
    <row r="56" spans="1:24" ht="15.6" x14ac:dyDescent="0.75">
      <c r="A56" s="93" t="s">
        <v>441</v>
      </c>
      <c r="B56" s="94">
        <v>15000</v>
      </c>
      <c r="C56" s="93">
        <v>5.2499999999999998E-2</v>
      </c>
      <c r="D56" s="94">
        <v>30000</v>
      </c>
      <c r="E56" s="93">
        <v>5.2499999999999998E-2</v>
      </c>
      <c r="F56" s="45">
        <f t="shared" si="10"/>
        <v>5.2499999999999998E-2</v>
      </c>
      <c r="G56" s="45">
        <f t="shared" si="11"/>
        <v>5.2499999999999998E-2</v>
      </c>
    </row>
    <row r="57" spans="1:24" ht="15.6" x14ac:dyDescent="0.75">
      <c r="A57" s="93" t="s">
        <v>441</v>
      </c>
      <c r="B57" s="94">
        <v>30000</v>
      </c>
      <c r="C57" s="93">
        <v>5.7000000000000002E-2</v>
      </c>
      <c r="D57" s="94">
        <v>60000</v>
      </c>
      <c r="E57" s="93">
        <v>5.7000000000000002E-2</v>
      </c>
      <c r="F57" s="45">
        <f t="shared" si="10"/>
        <v>5.7000000000000002E-2</v>
      </c>
      <c r="G57" s="45">
        <f t="shared" si="11"/>
        <v>5.7000000000000002E-2</v>
      </c>
    </row>
    <row r="58" spans="1:24" ht="15.6" x14ac:dyDescent="0.75">
      <c r="A58" s="93" t="s">
        <v>442</v>
      </c>
      <c r="B58" s="94">
        <v>0</v>
      </c>
      <c r="C58" s="93">
        <v>0.04</v>
      </c>
      <c r="D58" s="94">
        <v>0</v>
      </c>
      <c r="E58" s="93">
        <v>0.04</v>
      </c>
      <c r="F58" s="45">
        <f>C58+B$177</f>
        <v>5.33E-2</v>
      </c>
      <c r="G58" s="45">
        <f>E58+B$177</f>
        <v>5.33E-2</v>
      </c>
    </row>
    <row r="59" spans="1:24" ht="15.6" x14ac:dyDescent="0.75">
      <c r="A59" s="93" t="s">
        <v>443</v>
      </c>
      <c r="B59" s="94">
        <v>0</v>
      </c>
      <c r="C59" s="95">
        <v>1.8499999999999999E-2</v>
      </c>
      <c r="D59" s="94">
        <v>0</v>
      </c>
      <c r="E59" s="95">
        <v>1.8499999999999999E-2</v>
      </c>
      <c r="F59" s="45">
        <f t="shared" si="10"/>
        <v>1.8499999999999999E-2</v>
      </c>
      <c r="G59" s="45">
        <f t="shared" ref="G59:G64" si="12">E59</f>
        <v>1.8499999999999999E-2</v>
      </c>
    </row>
    <row r="60" spans="1:24" ht="15.6" x14ac:dyDescent="0.75">
      <c r="A60" s="93" t="s">
        <v>443</v>
      </c>
      <c r="B60" s="94">
        <v>12500</v>
      </c>
      <c r="C60" s="95">
        <v>3.5000000000000003E-2</v>
      </c>
      <c r="D60" s="94">
        <v>25000</v>
      </c>
      <c r="E60" s="95">
        <v>3.5000000000000003E-2</v>
      </c>
      <c r="F60" s="45">
        <f t="shared" si="10"/>
        <v>3.5000000000000003E-2</v>
      </c>
      <c r="G60" s="45">
        <f t="shared" si="12"/>
        <v>3.5000000000000003E-2</v>
      </c>
    </row>
    <row r="61" spans="1:24" ht="15.6" x14ac:dyDescent="0.75">
      <c r="A61" s="93" t="s">
        <v>443</v>
      </c>
      <c r="B61" s="94">
        <v>50000</v>
      </c>
      <c r="C61" s="95">
        <v>4.2450000000000002E-2</v>
      </c>
      <c r="D61" s="94">
        <v>100000</v>
      </c>
      <c r="E61" s="95">
        <v>4.2450000000000002E-2</v>
      </c>
      <c r="F61" s="45">
        <f t="shared" si="10"/>
        <v>4.2450000000000002E-2</v>
      </c>
      <c r="G61" s="45">
        <f t="shared" si="12"/>
        <v>4.2450000000000002E-2</v>
      </c>
    </row>
    <row r="62" spans="1:24" ht="15.6" x14ac:dyDescent="0.75">
      <c r="A62" s="93" t="s">
        <v>320</v>
      </c>
      <c r="B62" s="94">
        <v>0</v>
      </c>
      <c r="C62" s="93">
        <v>5.8000000000000003E-2</v>
      </c>
      <c r="D62" s="94">
        <v>0</v>
      </c>
      <c r="E62" s="93">
        <v>5.8000000000000003E-2</v>
      </c>
      <c r="F62" s="45">
        <f t="shared" si="10"/>
        <v>5.8000000000000003E-2</v>
      </c>
      <c r="G62" s="45">
        <f t="shared" si="12"/>
        <v>5.8000000000000003E-2</v>
      </c>
    </row>
    <row r="63" spans="1:24" ht="15.6" x14ac:dyDescent="0.75">
      <c r="A63" s="93" t="s">
        <v>320</v>
      </c>
      <c r="B63" s="94">
        <v>26050</v>
      </c>
      <c r="C63" s="93">
        <v>6.7500000000000004E-2</v>
      </c>
      <c r="D63" s="94">
        <v>52100</v>
      </c>
      <c r="E63" s="93">
        <v>6.7500000000000004E-2</v>
      </c>
      <c r="F63" s="45">
        <f t="shared" si="10"/>
        <v>6.7500000000000004E-2</v>
      </c>
      <c r="G63" s="45">
        <f t="shared" si="12"/>
        <v>6.7500000000000004E-2</v>
      </c>
    </row>
    <row r="64" spans="1:24" ht="15.6" x14ac:dyDescent="0.75">
      <c r="A64" s="93" t="s">
        <v>320</v>
      </c>
      <c r="B64" s="94">
        <v>61600</v>
      </c>
      <c r="C64" s="93">
        <v>7.1499999999999994E-2</v>
      </c>
      <c r="D64" s="94">
        <v>123250</v>
      </c>
      <c r="E64" s="93">
        <v>7.1499999999999994E-2</v>
      </c>
      <c r="F64" s="45">
        <f t="shared" si="10"/>
        <v>7.1499999999999994E-2</v>
      </c>
      <c r="G64" s="45">
        <f t="shared" si="12"/>
        <v>7.1499999999999994E-2</v>
      </c>
    </row>
    <row r="65" spans="1:7" ht="15.6" x14ac:dyDescent="0.75">
      <c r="A65" s="93" t="s">
        <v>444</v>
      </c>
      <c r="B65" s="94">
        <v>0</v>
      </c>
      <c r="C65" s="93">
        <v>0.02</v>
      </c>
      <c r="D65" s="94">
        <v>0</v>
      </c>
      <c r="E65" s="93">
        <v>0.02</v>
      </c>
      <c r="F65" s="45">
        <f>C65+B$178</f>
        <v>4.3999999999999997E-2</v>
      </c>
      <c r="G65" s="45">
        <f>E65+B$178</f>
        <v>4.3999999999999997E-2</v>
      </c>
    </row>
    <row r="66" spans="1:7" ht="15.6" x14ac:dyDescent="0.75">
      <c r="A66" s="93" t="s">
        <v>444</v>
      </c>
      <c r="B66" s="94">
        <v>1000</v>
      </c>
      <c r="C66" s="93">
        <v>0.03</v>
      </c>
      <c r="D66" s="94">
        <v>1000</v>
      </c>
      <c r="E66" s="93">
        <v>0.03</v>
      </c>
      <c r="F66" s="45">
        <f t="shared" ref="F66:F72" si="13">C66+B$178</f>
        <v>5.3999999999999999E-2</v>
      </c>
      <c r="G66" s="45">
        <f t="shared" ref="G66:G72" si="14">E66+B$178</f>
        <v>5.3999999999999999E-2</v>
      </c>
    </row>
    <row r="67" spans="1:7" ht="15.6" x14ac:dyDescent="0.75">
      <c r="A67" s="93" t="s">
        <v>444</v>
      </c>
      <c r="B67" s="94">
        <v>2000</v>
      </c>
      <c r="C67" s="93">
        <v>0.04</v>
      </c>
      <c r="D67" s="94">
        <v>2000</v>
      </c>
      <c r="E67" s="93">
        <v>0.04</v>
      </c>
      <c r="F67" s="45">
        <f t="shared" si="13"/>
        <v>6.4000000000000001E-2</v>
      </c>
      <c r="G67" s="45">
        <f t="shared" si="14"/>
        <v>6.4000000000000001E-2</v>
      </c>
    </row>
    <row r="68" spans="1:7" ht="15.6" x14ac:dyDescent="0.75">
      <c r="A68" s="93" t="s">
        <v>444</v>
      </c>
      <c r="B68" s="94">
        <v>3000</v>
      </c>
      <c r="C68" s="93">
        <v>4.7500000000000001E-2</v>
      </c>
      <c r="D68" s="94">
        <v>3000</v>
      </c>
      <c r="E68" s="93">
        <v>4.7500000000000001E-2</v>
      </c>
      <c r="F68" s="45">
        <f t="shared" si="13"/>
        <v>7.1500000000000008E-2</v>
      </c>
      <c r="G68" s="45">
        <f t="shared" si="14"/>
        <v>7.1500000000000008E-2</v>
      </c>
    </row>
    <row r="69" spans="1:7" ht="15.6" x14ac:dyDescent="0.75">
      <c r="A69" s="93" t="s">
        <v>444</v>
      </c>
      <c r="B69" s="94">
        <v>100000</v>
      </c>
      <c r="C69" s="93">
        <v>0.05</v>
      </c>
      <c r="D69" s="94">
        <v>150000</v>
      </c>
      <c r="E69" s="93">
        <v>0.05</v>
      </c>
      <c r="F69" s="45">
        <f t="shared" si="13"/>
        <v>7.400000000000001E-2</v>
      </c>
      <c r="G69" s="45">
        <f t="shared" si="14"/>
        <v>7.400000000000001E-2</v>
      </c>
    </row>
    <row r="70" spans="1:7" ht="15.6" x14ac:dyDescent="0.75">
      <c r="A70" s="93" t="s">
        <v>444</v>
      </c>
      <c r="B70" s="94">
        <v>125000</v>
      </c>
      <c r="C70" s="93">
        <v>5.2499999999999998E-2</v>
      </c>
      <c r="D70" s="94">
        <v>175000</v>
      </c>
      <c r="E70" s="93">
        <v>5.2499999999999998E-2</v>
      </c>
      <c r="F70" s="45">
        <f t="shared" si="13"/>
        <v>7.6499999999999999E-2</v>
      </c>
      <c r="G70" s="45">
        <f t="shared" si="14"/>
        <v>7.6499999999999999E-2</v>
      </c>
    </row>
    <row r="71" spans="1:7" ht="15.6" x14ac:dyDescent="0.75">
      <c r="A71" s="93" t="s">
        <v>444</v>
      </c>
      <c r="B71" s="94">
        <v>150000</v>
      </c>
      <c r="C71" s="93">
        <v>5.5E-2</v>
      </c>
      <c r="D71" s="94">
        <v>225000</v>
      </c>
      <c r="E71" s="93">
        <v>5.5E-2</v>
      </c>
      <c r="F71" s="45">
        <f t="shared" si="13"/>
        <v>7.9000000000000001E-2</v>
      </c>
      <c r="G71" s="45">
        <f t="shared" si="14"/>
        <v>7.9000000000000001E-2</v>
      </c>
    </row>
    <row r="72" spans="1:7" ht="15.6" x14ac:dyDescent="0.75">
      <c r="A72" s="93" t="s">
        <v>444</v>
      </c>
      <c r="B72" s="94">
        <v>250000</v>
      </c>
      <c r="C72" s="93">
        <v>5.7500000000000002E-2</v>
      </c>
      <c r="D72" s="94">
        <v>300000</v>
      </c>
      <c r="E72" s="93">
        <v>5.7500000000000002E-2</v>
      </c>
      <c r="F72" s="45">
        <f t="shared" si="13"/>
        <v>8.1500000000000003E-2</v>
      </c>
      <c r="G72" s="45">
        <f t="shared" si="14"/>
        <v>8.1500000000000003E-2</v>
      </c>
    </row>
    <row r="73" spans="1:7" ht="15.6" x14ac:dyDescent="0.75">
      <c r="A73" s="93" t="s">
        <v>445</v>
      </c>
      <c r="B73" s="94">
        <v>0</v>
      </c>
      <c r="C73" s="93">
        <v>0.05</v>
      </c>
      <c r="D73" s="94">
        <v>0</v>
      </c>
      <c r="E73" s="93">
        <v>0.05</v>
      </c>
      <c r="F73" s="45">
        <f t="shared" ref="F73:F80" si="15">C73</f>
        <v>0.05</v>
      </c>
      <c r="G73" s="45">
        <f t="shared" ref="G73:G80" si="16">E73</f>
        <v>0.05</v>
      </c>
    </row>
    <row r="74" spans="1:7" ht="15.6" x14ac:dyDescent="0.75">
      <c r="A74" s="93" t="s">
        <v>445</v>
      </c>
      <c r="B74" s="111">
        <v>1000000</v>
      </c>
      <c r="C74" s="93">
        <v>0.09</v>
      </c>
      <c r="D74" s="111">
        <v>1000000</v>
      </c>
      <c r="E74" s="93">
        <v>0.09</v>
      </c>
      <c r="F74" s="45">
        <f t="shared" si="15"/>
        <v>0.09</v>
      </c>
      <c r="G74" s="45">
        <f t="shared" si="16"/>
        <v>0.09</v>
      </c>
    </row>
    <row r="75" spans="1:7" ht="15.6" x14ac:dyDescent="0.75">
      <c r="A75" s="93" t="s">
        <v>446</v>
      </c>
      <c r="B75" s="94">
        <v>0</v>
      </c>
      <c r="C75" s="93">
        <v>4.2500000000000003E-2</v>
      </c>
      <c r="D75" s="94">
        <v>0</v>
      </c>
      <c r="E75" s="93">
        <v>4.2500000000000003E-2</v>
      </c>
      <c r="F75" s="45">
        <f>C75+B$179</f>
        <v>4.4200000000000003E-2</v>
      </c>
      <c r="G75" s="45">
        <f>E75+B$179</f>
        <v>4.4200000000000003E-2</v>
      </c>
    </row>
    <row r="76" spans="1:7" ht="15.6" x14ac:dyDescent="0.75">
      <c r="A76" s="93" t="s">
        <v>447</v>
      </c>
      <c r="B76" s="94">
        <v>0</v>
      </c>
      <c r="C76" s="93">
        <v>5.3499999999999999E-2</v>
      </c>
      <c r="D76" s="94">
        <v>0</v>
      </c>
      <c r="E76" s="93">
        <v>5.3499999999999999E-2</v>
      </c>
      <c r="F76" s="45">
        <f t="shared" si="15"/>
        <v>5.3499999999999999E-2</v>
      </c>
      <c r="G76" s="45">
        <f t="shared" si="16"/>
        <v>5.3499999999999999E-2</v>
      </c>
    </row>
    <row r="77" spans="1:7" ht="15.6" x14ac:dyDescent="0.75">
      <c r="A77" s="93" t="s">
        <v>447</v>
      </c>
      <c r="B77" s="94">
        <v>31690</v>
      </c>
      <c r="C77" s="93">
        <v>6.8000000000000005E-2</v>
      </c>
      <c r="D77" s="94">
        <v>46330</v>
      </c>
      <c r="E77" s="93">
        <v>6.8000000000000005E-2</v>
      </c>
      <c r="F77" s="45">
        <f>C77</f>
        <v>6.8000000000000005E-2</v>
      </c>
      <c r="G77" s="45">
        <f t="shared" si="16"/>
        <v>6.8000000000000005E-2</v>
      </c>
    </row>
    <row r="78" spans="1:7" ht="15.6" x14ac:dyDescent="0.75">
      <c r="A78" s="93" t="s">
        <v>447</v>
      </c>
      <c r="B78" s="94">
        <v>104090</v>
      </c>
      <c r="C78" s="93">
        <v>7.85E-2</v>
      </c>
      <c r="D78" s="94">
        <v>184040</v>
      </c>
      <c r="E78" s="93">
        <v>7.85E-2</v>
      </c>
      <c r="F78" s="45">
        <f t="shared" si="15"/>
        <v>7.85E-2</v>
      </c>
      <c r="G78" s="45">
        <f t="shared" si="16"/>
        <v>7.85E-2</v>
      </c>
    </row>
    <row r="79" spans="1:7" ht="15.6" x14ac:dyDescent="0.75">
      <c r="A79" s="93" t="s">
        <v>447</v>
      </c>
      <c r="B79" s="94">
        <v>193240</v>
      </c>
      <c r="C79" s="93">
        <v>9.8500000000000004E-2</v>
      </c>
      <c r="D79" s="94">
        <v>321450</v>
      </c>
      <c r="E79" s="93">
        <v>9.8500000000000004E-2</v>
      </c>
      <c r="F79" s="45">
        <f t="shared" si="15"/>
        <v>9.8500000000000004E-2</v>
      </c>
      <c r="G79" s="45">
        <f t="shared" si="16"/>
        <v>9.8500000000000004E-2</v>
      </c>
    </row>
    <row r="80" spans="1:7" ht="15.6" x14ac:dyDescent="0.75">
      <c r="A80" s="93" t="s">
        <v>448</v>
      </c>
      <c r="B80" s="94">
        <v>10000</v>
      </c>
      <c r="C80" s="93">
        <v>4.7E-2</v>
      </c>
      <c r="D80" s="94">
        <v>10000</v>
      </c>
      <c r="E80" s="93">
        <v>4.7E-2</v>
      </c>
      <c r="F80" s="45">
        <f t="shared" si="15"/>
        <v>4.7E-2</v>
      </c>
      <c r="G80" s="45">
        <f t="shared" si="16"/>
        <v>4.7E-2</v>
      </c>
    </row>
    <row r="81" spans="1:7" ht="15.6" x14ac:dyDescent="0.75">
      <c r="A81" s="93" t="s">
        <v>449</v>
      </c>
      <c r="B81" s="94">
        <v>1273</v>
      </c>
      <c r="C81" s="93">
        <v>0.02</v>
      </c>
      <c r="D81" s="94">
        <v>1207</v>
      </c>
      <c r="E81" s="95">
        <v>0.02</v>
      </c>
      <c r="F81" s="45">
        <f>C81+B$180</f>
        <v>2.2200000000000001E-2</v>
      </c>
      <c r="G81" s="45">
        <f>E81+B$180</f>
        <v>2.2200000000000001E-2</v>
      </c>
    </row>
    <row r="82" spans="1:7" ht="15.6" x14ac:dyDescent="0.75">
      <c r="A82" s="93" t="s">
        <v>449</v>
      </c>
      <c r="B82" s="94">
        <v>2546</v>
      </c>
      <c r="C82" s="93">
        <v>2.5000000000000001E-2</v>
      </c>
      <c r="D82" s="94">
        <v>2414</v>
      </c>
      <c r="E82" s="95">
        <v>2.5000000000000001E-2</v>
      </c>
      <c r="F82" s="45">
        <f t="shared" ref="F82:F87" si="17">C82+B$180</f>
        <v>2.7200000000000002E-2</v>
      </c>
      <c r="G82" s="45">
        <f t="shared" ref="G82:G87" si="18">E82+B$180</f>
        <v>2.7200000000000002E-2</v>
      </c>
    </row>
    <row r="83" spans="1:7" ht="15.6" x14ac:dyDescent="0.75">
      <c r="A83" s="93" t="s">
        <v>449</v>
      </c>
      <c r="B83" s="94">
        <v>3819</v>
      </c>
      <c r="C83" s="93">
        <v>0.03</v>
      </c>
      <c r="D83" s="94">
        <v>3621</v>
      </c>
      <c r="E83" s="95">
        <v>0.03</v>
      </c>
      <c r="F83" s="45">
        <f t="shared" si="17"/>
        <v>3.2199999999999999E-2</v>
      </c>
      <c r="G83" s="45">
        <f t="shared" si="18"/>
        <v>3.2199999999999999E-2</v>
      </c>
    </row>
    <row r="84" spans="1:7" ht="15.6" x14ac:dyDescent="0.75">
      <c r="A84" s="93" t="s">
        <v>449</v>
      </c>
      <c r="B84" s="94">
        <v>5092</v>
      </c>
      <c r="C84" s="93">
        <v>3.5000000000000003E-2</v>
      </c>
      <c r="D84" s="94">
        <v>4828</v>
      </c>
      <c r="E84" s="95">
        <v>3.5000000000000003E-2</v>
      </c>
      <c r="F84" s="45">
        <f t="shared" si="17"/>
        <v>3.7200000000000004E-2</v>
      </c>
      <c r="G84" s="45">
        <f t="shared" si="18"/>
        <v>3.7200000000000004E-2</v>
      </c>
    </row>
    <row r="85" spans="1:7" ht="15.6" x14ac:dyDescent="0.75">
      <c r="A85" s="93" t="s">
        <v>449</v>
      </c>
      <c r="B85" s="94">
        <v>6365</v>
      </c>
      <c r="C85" s="93">
        <v>0.04</v>
      </c>
      <c r="D85" s="94">
        <v>6035</v>
      </c>
      <c r="E85" s="95">
        <v>0.04</v>
      </c>
      <c r="F85" s="45">
        <f t="shared" si="17"/>
        <v>4.2200000000000001E-2</v>
      </c>
      <c r="G85" s="45">
        <f t="shared" si="18"/>
        <v>4.2200000000000001E-2</v>
      </c>
    </row>
    <row r="86" spans="1:7" ht="15.6" x14ac:dyDescent="0.75">
      <c r="A86" s="93" t="s">
        <v>449</v>
      </c>
      <c r="B86" s="94">
        <v>7638</v>
      </c>
      <c r="C86" s="93">
        <v>4.4999999999999998E-2</v>
      </c>
      <c r="D86" s="94">
        <v>7242</v>
      </c>
      <c r="E86" s="95">
        <v>4.4999999999999998E-2</v>
      </c>
      <c r="F86" s="45">
        <f t="shared" si="17"/>
        <v>4.7199999999999999E-2</v>
      </c>
      <c r="G86" s="45">
        <f t="shared" si="18"/>
        <v>4.7199999999999999E-2</v>
      </c>
    </row>
    <row r="87" spans="1:7" ht="15.6" x14ac:dyDescent="0.75">
      <c r="A87" s="93" t="s">
        <v>449</v>
      </c>
      <c r="B87" s="94">
        <v>8911</v>
      </c>
      <c r="C87" s="93">
        <v>4.8000000000000001E-2</v>
      </c>
      <c r="D87" s="94">
        <v>8449</v>
      </c>
      <c r="E87" s="93">
        <v>4.8000000000000001E-2</v>
      </c>
      <c r="F87" s="45">
        <f t="shared" si="17"/>
        <v>5.0200000000000002E-2</v>
      </c>
      <c r="G87" s="45">
        <f t="shared" si="18"/>
        <v>5.0200000000000002E-2</v>
      </c>
    </row>
    <row r="88" spans="1:7" ht="15.6" x14ac:dyDescent="0.75">
      <c r="A88" s="93" t="s">
        <v>450</v>
      </c>
      <c r="B88" s="94">
        <v>0</v>
      </c>
      <c r="C88" s="93">
        <v>4.7E-2</v>
      </c>
      <c r="D88" s="94">
        <v>0</v>
      </c>
      <c r="E88" s="93">
        <v>4.7E-2</v>
      </c>
      <c r="F88" s="45">
        <f>C88</f>
        <v>4.7E-2</v>
      </c>
      <c r="G88" s="45">
        <f t="shared" ref="G88:G108" si="19">E88</f>
        <v>4.7E-2</v>
      </c>
    </row>
    <row r="89" spans="1:7" ht="15.6" x14ac:dyDescent="0.75">
      <c r="A89" s="93" t="s">
        <v>450</v>
      </c>
      <c r="B89" s="94">
        <v>20500</v>
      </c>
      <c r="C89" s="93">
        <v>5.8999999999999997E-2</v>
      </c>
      <c r="D89" s="94">
        <v>41000</v>
      </c>
      <c r="E89" s="93">
        <v>5.8999999999999997E-2</v>
      </c>
      <c r="F89" s="45">
        <f t="shared" ref="F89:F108" si="20">C89</f>
        <v>5.8999999999999997E-2</v>
      </c>
      <c r="G89" s="45">
        <f t="shared" si="19"/>
        <v>5.8999999999999997E-2</v>
      </c>
    </row>
    <row r="90" spans="1:7" ht="15.6" x14ac:dyDescent="0.75">
      <c r="A90" s="93" t="s">
        <v>451</v>
      </c>
      <c r="B90" s="94">
        <v>0</v>
      </c>
      <c r="C90" s="95">
        <v>2.46E-2</v>
      </c>
      <c r="D90" s="94">
        <v>0</v>
      </c>
      <c r="E90" s="95">
        <v>2.46E-2</v>
      </c>
      <c r="F90" s="45">
        <f t="shared" si="20"/>
        <v>2.46E-2</v>
      </c>
      <c r="G90" s="45">
        <f t="shared" si="19"/>
        <v>2.46E-2</v>
      </c>
    </row>
    <row r="91" spans="1:7" ht="15.6" x14ac:dyDescent="0.75">
      <c r="A91" s="93" t="s">
        <v>451</v>
      </c>
      <c r="B91" s="94">
        <v>3700</v>
      </c>
      <c r="C91" s="95">
        <v>3.5099999999999999E-2</v>
      </c>
      <c r="D91" s="94">
        <v>7390</v>
      </c>
      <c r="E91" s="95">
        <v>3.5099999999999999E-2</v>
      </c>
      <c r="F91" s="45">
        <f t="shared" si="20"/>
        <v>3.5099999999999999E-2</v>
      </c>
      <c r="G91" s="45">
        <f t="shared" si="19"/>
        <v>3.5099999999999999E-2</v>
      </c>
    </row>
    <row r="92" spans="1:7" ht="15.6" x14ac:dyDescent="0.75">
      <c r="A92" s="93" t="s">
        <v>451</v>
      </c>
      <c r="B92" s="94">
        <v>22170</v>
      </c>
      <c r="C92" s="95">
        <v>5.0099999999999999E-2</v>
      </c>
      <c r="D92" s="94">
        <v>44350</v>
      </c>
      <c r="E92" s="95">
        <v>5.0099999999999999E-2</v>
      </c>
      <c r="F92" s="45">
        <f t="shared" si="20"/>
        <v>5.0099999999999999E-2</v>
      </c>
      <c r="G92" s="45">
        <f t="shared" si="19"/>
        <v>5.0099999999999999E-2</v>
      </c>
    </row>
    <row r="93" spans="1:7" ht="15.6" x14ac:dyDescent="0.75">
      <c r="A93" s="93" t="s">
        <v>451</v>
      </c>
      <c r="B93" s="94">
        <v>35730</v>
      </c>
      <c r="C93" s="95">
        <v>5.8400000000000001E-2</v>
      </c>
      <c r="D93" s="94">
        <v>71460</v>
      </c>
      <c r="E93" s="95">
        <v>5.8400000000000001E-2</v>
      </c>
      <c r="F93" s="45">
        <f t="shared" si="20"/>
        <v>5.8400000000000001E-2</v>
      </c>
      <c r="G93" s="45">
        <f t="shared" si="19"/>
        <v>5.8400000000000001E-2</v>
      </c>
    </row>
    <row r="94" spans="1:7" ht="15.6" x14ac:dyDescent="0.75">
      <c r="A94" s="93" t="s">
        <v>452</v>
      </c>
      <c r="B94" s="94">
        <v>0</v>
      </c>
      <c r="C94" s="95">
        <v>0</v>
      </c>
      <c r="D94" s="94">
        <v>0</v>
      </c>
      <c r="E94" s="95">
        <v>0</v>
      </c>
      <c r="F94" s="45">
        <f t="shared" si="20"/>
        <v>0</v>
      </c>
      <c r="G94" s="45">
        <f t="shared" si="19"/>
        <v>0</v>
      </c>
    </row>
    <row r="95" spans="1:7" ht="15.6" x14ac:dyDescent="0.75">
      <c r="A95" s="93" t="s">
        <v>453</v>
      </c>
      <c r="B95" s="94">
        <v>0</v>
      </c>
      <c r="C95" s="95">
        <v>0.03</v>
      </c>
      <c r="D95" s="94">
        <v>0</v>
      </c>
      <c r="E95" s="95">
        <v>0.03</v>
      </c>
      <c r="F95" s="45">
        <f t="shared" si="20"/>
        <v>0.03</v>
      </c>
      <c r="G95" s="45">
        <f t="shared" si="19"/>
        <v>0.03</v>
      </c>
    </row>
    <row r="96" spans="1:7" ht="15.6" x14ac:dyDescent="0.75">
      <c r="A96" s="93" t="s">
        <v>454</v>
      </c>
      <c r="B96" s="94">
        <v>0</v>
      </c>
      <c r="C96" s="119">
        <v>1.4E-2</v>
      </c>
      <c r="D96" s="94">
        <v>0</v>
      </c>
      <c r="E96" s="120">
        <v>1.4E-2</v>
      </c>
      <c r="F96" s="45">
        <f t="shared" si="20"/>
        <v>1.4E-2</v>
      </c>
      <c r="G96" s="45">
        <f t="shared" si="19"/>
        <v>1.4E-2</v>
      </c>
    </row>
    <row r="97" spans="1:7" ht="15.6" x14ac:dyDescent="0.75">
      <c r="A97" s="93" t="s">
        <v>454</v>
      </c>
      <c r="B97" s="94">
        <v>20000</v>
      </c>
      <c r="C97" s="119">
        <v>1.7500000000000002E-2</v>
      </c>
      <c r="D97" s="94">
        <v>20000</v>
      </c>
      <c r="E97" s="120">
        <v>1.7500000000000002E-2</v>
      </c>
      <c r="F97" s="45">
        <f>C97+B$181</f>
        <v>1.7500000000000002E-2</v>
      </c>
      <c r="G97" s="45">
        <f>E97+B$181</f>
        <v>1.7500000000000002E-2</v>
      </c>
    </row>
    <row r="98" spans="1:7" ht="15.6" x14ac:dyDescent="0.75">
      <c r="A98" s="93" t="s">
        <v>454</v>
      </c>
      <c r="B98" s="94">
        <v>35000</v>
      </c>
      <c r="C98" s="119">
        <v>3.5000000000000003E-2</v>
      </c>
      <c r="D98" s="94">
        <v>50000</v>
      </c>
      <c r="E98" s="120">
        <v>2.4500000000000001E-2</v>
      </c>
      <c r="F98" s="45">
        <f t="shared" ref="F98:F103" si="21">C98+B$181</f>
        <v>3.5000000000000003E-2</v>
      </c>
      <c r="G98" s="45">
        <f t="shared" ref="G98:G103" si="22">E98+B$181</f>
        <v>2.4500000000000001E-2</v>
      </c>
    </row>
    <row r="99" spans="1:7" ht="15.6" x14ac:dyDescent="0.75">
      <c r="A99" s="93" t="s">
        <v>454</v>
      </c>
      <c r="B99" s="94">
        <v>40000</v>
      </c>
      <c r="C99" s="119">
        <v>5.525E-2</v>
      </c>
      <c r="D99" s="94">
        <v>70000</v>
      </c>
      <c r="E99" s="120">
        <v>3.5000000000000003E-2</v>
      </c>
      <c r="F99" s="45">
        <f t="shared" si="21"/>
        <v>5.525E-2</v>
      </c>
      <c r="G99" s="45">
        <f t="shared" si="22"/>
        <v>3.5000000000000003E-2</v>
      </c>
    </row>
    <row r="100" spans="1:7" ht="15.6" x14ac:dyDescent="0.75">
      <c r="A100" s="93" t="s">
        <v>454</v>
      </c>
      <c r="B100" s="94">
        <v>75000</v>
      </c>
      <c r="C100" s="119">
        <v>6.3700000000000007E-2</v>
      </c>
      <c r="D100" s="94">
        <v>80000</v>
      </c>
      <c r="E100" s="120">
        <v>5.525E-2</v>
      </c>
      <c r="F100" s="45">
        <f t="shared" si="21"/>
        <v>6.3700000000000007E-2</v>
      </c>
      <c r="G100" s="45">
        <f t="shared" si="22"/>
        <v>5.525E-2</v>
      </c>
    </row>
    <row r="101" spans="1:7" ht="15.6" x14ac:dyDescent="0.75">
      <c r="A101" s="93" t="s">
        <v>454</v>
      </c>
      <c r="B101" s="94">
        <v>500000</v>
      </c>
      <c r="C101" s="119">
        <v>8.9700000000000002E-2</v>
      </c>
      <c r="D101" s="94">
        <v>150000</v>
      </c>
      <c r="E101" s="120">
        <v>6.3700000000000007E-2</v>
      </c>
      <c r="F101" s="45">
        <f t="shared" si="21"/>
        <v>8.9700000000000002E-2</v>
      </c>
      <c r="G101" s="45">
        <f t="shared" si="22"/>
        <v>6.3700000000000007E-2</v>
      </c>
    </row>
    <row r="102" spans="1:7" ht="15.6" x14ac:dyDescent="0.75">
      <c r="A102" s="93" t="s">
        <v>454</v>
      </c>
      <c r="B102" s="94">
        <v>1000000</v>
      </c>
      <c r="C102" s="119">
        <v>0.1075</v>
      </c>
      <c r="D102" s="94">
        <v>500000</v>
      </c>
      <c r="E102" s="120">
        <v>8.9700000000000002E-2</v>
      </c>
      <c r="F102" s="45">
        <f t="shared" si="21"/>
        <v>0.1075</v>
      </c>
      <c r="G102" s="45">
        <f t="shared" si="22"/>
        <v>8.9700000000000002E-2</v>
      </c>
    </row>
    <row r="103" spans="1:7" ht="15.6" x14ac:dyDescent="0.75">
      <c r="A103" s="93" t="s">
        <v>454</v>
      </c>
      <c r="D103" s="94">
        <v>1000000</v>
      </c>
      <c r="E103" s="121">
        <v>0.1075</v>
      </c>
      <c r="F103" s="45">
        <f t="shared" si="21"/>
        <v>0</v>
      </c>
      <c r="G103" s="45">
        <f t="shared" si="22"/>
        <v>0.1075</v>
      </c>
    </row>
    <row r="104" spans="1:7" ht="15.6" x14ac:dyDescent="0.75">
      <c r="A104" s="93" t="s">
        <v>455</v>
      </c>
      <c r="B104" s="94">
        <v>0</v>
      </c>
      <c r="C104" s="93">
        <v>1.7000000000000001E-2</v>
      </c>
      <c r="D104" s="94">
        <v>0</v>
      </c>
      <c r="E104" s="95">
        <v>1.7000000000000001E-2</v>
      </c>
      <c r="F104" s="45">
        <f t="shared" si="20"/>
        <v>1.7000000000000001E-2</v>
      </c>
      <c r="G104" s="45">
        <f t="shared" si="19"/>
        <v>1.7000000000000001E-2</v>
      </c>
    </row>
    <row r="105" spans="1:7" ht="15.6" x14ac:dyDescent="0.75">
      <c r="A105" s="93" t="s">
        <v>455</v>
      </c>
      <c r="B105" s="94">
        <v>5500</v>
      </c>
      <c r="C105" s="93">
        <v>3.2000000000000001E-2</v>
      </c>
      <c r="D105" s="94">
        <v>8000</v>
      </c>
      <c r="E105" s="95">
        <v>3.2000000000000001E-2</v>
      </c>
      <c r="F105" s="45">
        <f t="shared" si="20"/>
        <v>3.2000000000000001E-2</v>
      </c>
      <c r="G105" s="45">
        <f t="shared" si="19"/>
        <v>3.2000000000000001E-2</v>
      </c>
    </row>
    <row r="106" spans="1:7" ht="15.6" x14ac:dyDescent="0.75">
      <c r="A106" s="93" t="s">
        <v>455</v>
      </c>
      <c r="B106" s="94">
        <v>11000</v>
      </c>
      <c r="C106" s="93">
        <v>4.7E-2</v>
      </c>
      <c r="D106" s="94">
        <v>16000</v>
      </c>
      <c r="E106" s="95">
        <v>4.7E-2</v>
      </c>
      <c r="F106" s="45">
        <f t="shared" si="20"/>
        <v>4.7E-2</v>
      </c>
      <c r="G106" s="45">
        <f t="shared" si="19"/>
        <v>4.7E-2</v>
      </c>
    </row>
    <row r="107" spans="1:7" ht="15.6" x14ac:dyDescent="0.75">
      <c r="A107" s="93" t="s">
        <v>455</v>
      </c>
      <c r="B107" s="94">
        <v>16000</v>
      </c>
      <c r="C107" s="93">
        <v>4.9000000000000002E-2</v>
      </c>
      <c r="D107" s="94">
        <v>24000</v>
      </c>
      <c r="E107" s="95">
        <v>4.9000000000000002E-2</v>
      </c>
      <c r="F107" s="45">
        <f t="shared" si="20"/>
        <v>4.9000000000000002E-2</v>
      </c>
      <c r="G107" s="45">
        <f t="shared" si="19"/>
        <v>4.9000000000000002E-2</v>
      </c>
    </row>
    <row r="108" spans="1:7" ht="15.6" x14ac:dyDescent="0.75">
      <c r="A108" s="93" t="s">
        <v>455</v>
      </c>
      <c r="B108" s="94">
        <v>210000</v>
      </c>
      <c r="C108" s="93">
        <v>5.8999999999999997E-2</v>
      </c>
      <c r="D108" s="94">
        <v>315000</v>
      </c>
      <c r="E108" s="95">
        <v>5.8999999999999997E-2</v>
      </c>
      <c r="F108" s="45">
        <f t="shared" si="20"/>
        <v>5.8999999999999997E-2</v>
      </c>
      <c r="G108" s="45">
        <f t="shared" si="19"/>
        <v>5.8999999999999997E-2</v>
      </c>
    </row>
    <row r="109" spans="1:7" ht="15.6" x14ac:dyDescent="0.75">
      <c r="A109" s="93" t="s">
        <v>456</v>
      </c>
      <c r="B109" s="94">
        <v>0</v>
      </c>
      <c r="C109" s="95">
        <v>0.04</v>
      </c>
      <c r="D109" s="94">
        <v>0</v>
      </c>
      <c r="E109" s="95">
        <v>0.04</v>
      </c>
      <c r="F109" s="45">
        <f>C109+B$182</f>
        <v>0.04</v>
      </c>
      <c r="G109" s="45">
        <f>E109+B$182</f>
        <v>0.04</v>
      </c>
    </row>
    <row r="110" spans="1:7" ht="15.6" x14ac:dyDescent="0.75">
      <c r="A110" s="93" t="s">
        <v>456</v>
      </c>
      <c r="B110" s="94">
        <v>8500</v>
      </c>
      <c r="C110" s="95">
        <v>4.4999999999999998E-2</v>
      </c>
      <c r="D110" s="94">
        <v>17150</v>
      </c>
      <c r="E110" s="95">
        <v>4.4999999999999998E-2</v>
      </c>
      <c r="F110" s="45">
        <f t="shared" ref="F110:F118" si="23">C110+B$182</f>
        <v>4.4999999999999998E-2</v>
      </c>
      <c r="G110" s="45">
        <f t="shared" ref="G110:G118" si="24">E110+B$182</f>
        <v>4.4999999999999998E-2</v>
      </c>
    </row>
    <row r="111" spans="1:7" ht="15.6" x14ac:dyDescent="0.75">
      <c r="A111" s="93" t="s">
        <v>456</v>
      </c>
      <c r="B111" s="94">
        <v>11700</v>
      </c>
      <c r="C111" s="95">
        <v>5.2499999999999998E-2</v>
      </c>
      <c r="D111" s="94">
        <v>23600</v>
      </c>
      <c r="E111" s="95">
        <v>5.2499999999999998E-2</v>
      </c>
      <c r="F111" s="45">
        <f t="shared" si="23"/>
        <v>5.2499999999999998E-2</v>
      </c>
      <c r="G111" s="45">
        <f t="shared" si="24"/>
        <v>5.2499999999999998E-2</v>
      </c>
    </row>
    <row r="112" spans="1:7" ht="15.6" x14ac:dyDescent="0.75">
      <c r="A112" s="93" t="s">
        <v>456</v>
      </c>
      <c r="B112" s="94">
        <v>13900</v>
      </c>
      <c r="C112" s="95">
        <v>5.5E-2</v>
      </c>
      <c r="D112" s="94">
        <v>27900</v>
      </c>
      <c r="E112" s="95">
        <v>5.5E-2</v>
      </c>
      <c r="F112" s="45">
        <f t="shared" si="23"/>
        <v>5.5E-2</v>
      </c>
      <c r="G112" s="45">
        <f t="shared" si="24"/>
        <v>5.5E-2</v>
      </c>
    </row>
    <row r="113" spans="1:7" ht="15.6" x14ac:dyDescent="0.75">
      <c r="A113" s="93" t="s">
        <v>456</v>
      </c>
      <c r="B113" s="94">
        <v>80650</v>
      </c>
      <c r="C113" s="95">
        <v>0.06</v>
      </c>
      <c r="D113" s="94">
        <v>161550</v>
      </c>
      <c r="E113" s="95">
        <v>0.06</v>
      </c>
      <c r="F113" s="45">
        <f t="shared" si="23"/>
        <v>0.06</v>
      </c>
      <c r="G113" s="45">
        <f t="shared" si="24"/>
        <v>0.06</v>
      </c>
    </row>
    <row r="114" spans="1:7" ht="15.6" x14ac:dyDescent="0.75">
      <c r="A114" s="93" t="s">
        <v>456</v>
      </c>
      <c r="B114" s="94">
        <v>215400</v>
      </c>
      <c r="C114" s="95">
        <v>6.8500000000000005E-2</v>
      </c>
      <c r="D114" s="94">
        <v>323200</v>
      </c>
      <c r="E114" s="95">
        <v>6.8500000000000005E-2</v>
      </c>
      <c r="F114" s="45">
        <f t="shared" si="23"/>
        <v>6.8500000000000005E-2</v>
      </c>
      <c r="G114" s="45">
        <f t="shared" si="24"/>
        <v>6.8500000000000005E-2</v>
      </c>
    </row>
    <row r="115" spans="1:7" ht="15.6" x14ac:dyDescent="0.75">
      <c r="A115" s="93" t="s">
        <v>456</v>
      </c>
      <c r="B115" s="94">
        <v>1077550</v>
      </c>
      <c r="C115" s="95">
        <v>9.6500000000000002E-2</v>
      </c>
      <c r="D115" s="94">
        <v>2155350</v>
      </c>
      <c r="E115" s="95">
        <v>9.6500000000000002E-2</v>
      </c>
      <c r="F115" s="45">
        <f t="shared" si="23"/>
        <v>9.6500000000000002E-2</v>
      </c>
      <c r="G115" s="45">
        <f t="shared" si="24"/>
        <v>9.6500000000000002E-2</v>
      </c>
    </row>
    <row r="116" spans="1:7" ht="15.6" x14ac:dyDescent="0.75">
      <c r="A116" s="93" t="s">
        <v>456</v>
      </c>
      <c r="B116" s="94">
        <v>5000000</v>
      </c>
      <c r="C116" s="95">
        <v>0.10299999999999999</v>
      </c>
      <c r="D116" s="94">
        <v>5000000</v>
      </c>
      <c r="E116" s="95">
        <v>0.10299999999999999</v>
      </c>
      <c r="F116" s="45">
        <f t="shared" si="23"/>
        <v>0.10299999999999999</v>
      </c>
      <c r="G116" s="45">
        <f t="shared" si="24"/>
        <v>0.10299999999999999</v>
      </c>
    </row>
    <row r="117" spans="1:7" ht="15.6" x14ac:dyDescent="0.75">
      <c r="A117" s="93" t="s">
        <v>456</v>
      </c>
      <c r="B117" s="94">
        <v>25000000</v>
      </c>
      <c r="C117" s="95">
        <v>0.109</v>
      </c>
      <c r="D117" s="94">
        <v>25000000</v>
      </c>
      <c r="E117" s="95">
        <v>0.109</v>
      </c>
      <c r="F117" s="45">
        <f t="shared" si="23"/>
        <v>0.109</v>
      </c>
      <c r="G117" s="45">
        <f t="shared" si="24"/>
        <v>0.109</v>
      </c>
    </row>
    <row r="118" spans="1:7" ht="15.6" x14ac:dyDescent="0.75">
      <c r="A118" s="93" t="s">
        <v>477</v>
      </c>
      <c r="B118" s="94">
        <v>0</v>
      </c>
      <c r="C118" s="95">
        <v>4.4999999999999998E-2</v>
      </c>
      <c r="D118" s="94">
        <v>0</v>
      </c>
      <c r="E118" s="95">
        <v>4.4999999999999998E-2</v>
      </c>
      <c r="F118" s="45">
        <f t="shared" si="23"/>
        <v>4.4999999999999998E-2</v>
      </c>
      <c r="G118" s="45">
        <f t="shared" si="24"/>
        <v>4.4999999999999998E-2</v>
      </c>
    </row>
    <row r="119" spans="1:7" ht="15.6" x14ac:dyDescent="0.75">
      <c r="A119" s="93" t="s">
        <v>457</v>
      </c>
      <c r="B119" s="94">
        <v>44725</v>
      </c>
      <c r="C119" s="93">
        <v>1.95E-2</v>
      </c>
      <c r="D119" s="94">
        <v>74750</v>
      </c>
      <c r="E119" s="93">
        <v>1.95E-2</v>
      </c>
      <c r="F119" s="45">
        <f t="shared" ref="F119:F120" si="25">C119</f>
        <v>1.95E-2</v>
      </c>
      <c r="G119" s="45">
        <f t="shared" ref="G119:G120" si="26">E119</f>
        <v>1.95E-2</v>
      </c>
    </row>
    <row r="120" spans="1:7" ht="15.6" x14ac:dyDescent="0.75">
      <c r="A120" s="93" t="s">
        <v>457</v>
      </c>
      <c r="B120" s="94">
        <v>225975</v>
      </c>
      <c r="C120" s="93">
        <v>2.5000000000000001E-2</v>
      </c>
      <c r="D120" s="94">
        <v>275100</v>
      </c>
      <c r="E120" s="93">
        <v>2.5000000000000001E-2</v>
      </c>
      <c r="F120" s="45">
        <f t="shared" si="25"/>
        <v>2.5000000000000001E-2</v>
      </c>
      <c r="G120" s="45">
        <f t="shared" si="26"/>
        <v>2.5000000000000001E-2</v>
      </c>
    </row>
    <row r="121" spans="1:7" ht="15.6" x14ac:dyDescent="0.75">
      <c r="A121" s="93" t="s">
        <v>458</v>
      </c>
      <c r="B121" s="94">
        <v>26050</v>
      </c>
      <c r="C121" s="120">
        <v>2.75E-2</v>
      </c>
      <c r="D121" s="94">
        <v>26050</v>
      </c>
      <c r="E121" s="120">
        <v>2.75E-2</v>
      </c>
      <c r="F121" s="130">
        <f>C121+B$183</f>
        <v>4.3200000000000002E-2</v>
      </c>
      <c r="G121" s="130">
        <f>E121+B$183</f>
        <v>4.3200000000000002E-2</v>
      </c>
    </row>
    <row r="122" spans="1:7" ht="15.6" x14ac:dyDescent="0.75">
      <c r="A122" s="93" t="s">
        <v>458</v>
      </c>
      <c r="B122" s="94">
        <v>92150</v>
      </c>
      <c r="C122" s="120">
        <v>3.5000000000000003E-2</v>
      </c>
      <c r="D122" s="94">
        <v>92150</v>
      </c>
      <c r="E122" s="120">
        <v>3.5000000000000003E-2</v>
      </c>
      <c r="F122" s="130">
        <f>C122+B$183</f>
        <v>5.0700000000000002E-2</v>
      </c>
      <c r="G122" s="130">
        <f>E122+B$183</f>
        <v>5.0700000000000002E-2</v>
      </c>
    </row>
    <row r="123" spans="1:7" ht="15.6" x14ac:dyDescent="0.75">
      <c r="A123" s="93" t="s">
        <v>459</v>
      </c>
      <c r="B123" s="94">
        <v>0</v>
      </c>
      <c r="C123" s="95">
        <v>2.5000000000000001E-3</v>
      </c>
      <c r="D123" s="94">
        <v>0</v>
      </c>
      <c r="E123" s="95">
        <v>2.5000000000000001E-3</v>
      </c>
      <c r="F123" s="45">
        <f t="shared" ref="F123:F169" si="27">C123</f>
        <v>2.5000000000000001E-3</v>
      </c>
      <c r="G123" s="45">
        <f t="shared" ref="G123:G169" si="28">E123</f>
        <v>2.5000000000000001E-3</v>
      </c>
    </row>
    <row r="124" spans="1:7" ht="15.6" x14ac:dyDescent="0.75">
      <c r="A124" s="93" t="s">
        <v>459</v>
      </c>
      <c r="B124" s="94">
        <v>1000</v>
      </c>
      <c r="C124" s="95">
        <v>7.4999999999999997E-3</v>
      </c>
      <c r="D124" s="94">
        <v>2000</v>
      </c>
      <c r="E124" s="95">
        <v>7.4999999999999997E-3</v>
      </c>
      <c r="F124" s="45">
        <f t="shared" si="27"/>
        <v>7.4999999999999997E-3</v>
      </c>
      <c r="G124" s="45">
        <f t="shared" si="28"/>
        <v>7.4999999999999997E-3</v>
      </c>
    </row>
    <row r="125" spans="1:7" ht="15.6" x14ac:dyDescent="0.75">
      <c r="A125" s="93" t="s">
        <v>459</v>
      </c>
      <c r="B125" s="94">
        <v>2500</v>
      </c>
      <c r="C125" s="95">
        <v>1.7500000000000002E-2</v>
      </c>
      <c r="D125" s="94">
        <v>5000</v>
      </c>
      <c r="E125" s="95">
        <v>1.7500000000000002E-2</v>
      </c>
      <c r="F125" s="45">
        <f t="shared" si="27"/>
        <v>1.7500000000000002E-2</v>
      </c>
      <c r="G125" s="45">
        <f t="shared" si="28"/>
        <v>1.7500000000000002E-2</v>
      </c>
    </row>
    <row r="126" spans="1:7" ht="15.6" x14ac:dyDescent="0.75">
      <c r="A126" s="93" t="s">
        <v>459</v>
      </c>
      <c r="B126" s="94">
        <v>3750</v>
      </c>
      <c r="C126" s="95">
        <v>2.75E-2</v>
      </c>
      <c r="D126" s="94">
        <v>7500</v>
      </c>
      <c r="E126" s="95">
        <v>2.75E-2</v>
      </c>
      <c r="F126" s="45">
        <f t="shared" si="27"/>
        <v>2.75E-2</v>
      </c>
      <c r="G126" s="45">
        <f t="shared" si="28"/>
        <v>2.75E-2</v>
      </c>
    </row>
    <row r="127" spans="1:7" ht="15.6" x14ac:dyDescent="0.75">
      <c r="A127" s="93" t="s">
        <v>459</v>
      </c>
      <c r="B127" s="94">
        <v>4900</v>
      </c>
      <c r="C127" s="95">
        <v>3.7499999999999999E-2</v>
      </c>
      <c r="D127" s="94">
        <v>9800</v>
      </c>
      <c r="E127" s="95">
        <v>3.7499999999999999E-2</v>
      </c>
      <c r="F127" s="45">
        <f t="shared" si="27"/>
        <v>3.7499999999999999E-2</v>
      </c>
      <c r="G127" s="45">
        <f t="shared" si="28"/>
        <v>3.7499999999999999E-2</v>
      </c>
    </row>
    <row r="128" spans="1:7" ht="15.6" x14ac:dyDescent="0.75">
      <c r="A128" s="93" t="s">
        <v>459</v>
      </c>
      <c r="B128" s="94">
        <v>7200</v>
      </c>
      <c r="C128" s="95">
        <v>4.7500000000000001E-2</v>
      </c>
      <c r="D128" s="94">
        <v>12200</v>
      </c>
      <c r="E128" s="95">
        <v>4.7500000000000001E-2</v>
      </c>
      <c r="F128" s="45">
        <f t="shared" si="27"/>
        <v>4.7500000000000001E-2</v>
      </c>
      <c r="G128" s="45">
        <f t="shared" si="28"/>
        <v>4.7500000000000001E-2</v>
      </c>
    </row>
    <row r="129" spans="1:7" ht="15.6" x14ac:dyDescent="0.75">
      <c r="A129" s="93" t="s">
        <v>460</v>
      </c>
      <c r="B129" s="94">
        <v>0</v>
      </c>
      <c r="C129" s="93">
        <v>4.7500000000000001E-2</v>
      </c>
      <c r="D129" s="94">
        <v>0</v>
      </c>
      <c r="E129" s="95">
        <v>4.7500000000000001E-2</v>
      </c>
      <c r="F129" s="45">
        <f>C129+B$184</f>
        <v>4.7500000000000001E-2</v>
      </c>
      <c r="G129" s="45">
        <f>E129+B$184</f>
        <v>4.7500000000000001E-2</v>
      </c>
    </row>
    <row r="130" spans="1:7" ht="15.6" x14ac:dyDescent="0.75">
      <c r="A130" s="93" t="s">
        <v>460</v>
      </c>
      <c r="B130" s="94">
        <v>4300</v>
      </c>
      <c r="C130" s="93">
        <v>6.7500000000000004E-2</v>
      </c>
      <c r="D130" s="94">
        <v>8600</v>
      </c>
      <c r="E130" s="95">
        <v>6.7500000000000004E-2</v>
      </c>
      <c r="F130" s="45">
        <f t="shared" ref="F130:F132" si="29">C130+B$184</f>
        <v>6.7500000000000004E-2</v>
      </c>
      <c r="G130" s="45">
        <f t="shared" ref="G130:G132" si="30">E130+B$184</f>
        <v>6.7500000000000004E-2</v>
      </c>
    </row>
    <row r="131" spans="1:7" ht="15.6" x14ac:dyDescent="0.75">
      <c r="A131" s="93" t="s">
        <v>460</v>
      </c>
      <c r="B131" s="94">
        <v>10750</v>
      </c>
      <c r="C131" s="93">
        <v>8.7499999999999994E-2</v>
      </c>
      <c r="D131" s="94">
        <v>21500</v>
      </c>
      <c r="E131" s="95">
        <v>8.7499999999999994E-2</v>
      </c>
      <c r="F131" s="45">
        <f t="shared" si="29"/>
        <v>8.7499999999999994E-2</v>
      </c>
      <c r="G131" s="45">
        <f t="shared" si="30"/>
        <v>8.7499999999999994E-2</v>
      </c>
    </row>
    <row r="132" spans="1:7" ht="15.6" x14ac:dyDescent="0.75">
      <c r="A132" s="93" t="s">
        <v>460</v>
      </c>
      <c r="B132" s="94">
        <v>125000</v>
      </c>
      <c r="C132" s="93">
        <v>9.9000000000000005E-2</v>
      </c>
      <c r="D132" s="94">
        <v>250000</v>
      </c>
      <c r="E132" s="95">
        <v>9.9000000000000005E-2</v>
      </c>
      <c r="F132" s="45">
        <f t="shared" si="29"/>
        <v>9.9000000000000005E-2</v>
      </c>
      <c r="G132" s="45">
        <f t="shared" si="30"/>
        <v>9.9000000000000005E-2</v>
      </c>
    </row>
    <row r="133" spans="1:7" ht="15.6" x14ac:dyDescent="0.75">
      <c r="A133" s="93" t="s">
        <v>461</v>
      </c>
      <c r="B133" s="94">
        <v>0</v>
      </c>
      <c r="C133" s="95">
        <v>3.0700000000000002E-2</v>
      </c>
      <c r="D133" s="94">
        <v>0</v>
      </c>
      <c r="E133" s="95">
        <v>3.0700000000000002E-2</v>
      </c>
      <c r="F133" s="45">
        <f>C133+B$185</f>
        <v>4.3000000000000003E-2</v>
      </c>
      <c r="G133" s="45">
        <f>E133+B$185</f>
        <v>4.3000000000000003E-2</v>
      </c>
    </row>
    <row r="134" spans="1:7" ht="15.6" x14ac:dyDescent="0.75">
      <c r="A134" s="93" t="s">
        <v>462</v>
      </c>
      <c r="B134" s="94">
        <v>0</v>
      </c>
      <c r="C134" s="93">
        <v>3.7499999999999999E-2</v>
      </c>
      <c r="D134" s="94">
        <v>0</v>
      </c>
      <c r="E134" s="93">
        <v>3.7499999999999999E-2</v>
      </c>
      <c r="F134" s="45">
        <f t="shared" si="27"/>
        <v>3.7499999999999999E-2</v>
      </c>
      <c r="G134" s="45">
        <f t="shared" si="28"/>
        <v>3.7499999999999999E-2</v>
      </c>
    </row>
    <row r="135" spans="1:7" ht="15.6" x14ac:dyDescent="0.75">
      <c r="A135" s="93" t="s">
        <v>462</v>
      </c>
      <c r="B135" s="94">
        <v>77450</v>
      </c>
      <c r="C135" s="93">
        <v>4.7500000000000001E-2</v>
      </c>
      <c r="D135" s="94">
        <v>77450</v>
      </c>
      <c r="E135" s="93">
        <v>4.7500000000000001E-2</v>
      </c>
      <c r="F135" s="45">
        <f t="shared" si="27"/>
        <v>4.7500000000000001E-2</v>
      </c>
      <c r="G135" s="45">
        <f t="shared" si="28"/>
        <v>4.7500000000000001E-2</v>
      </c>
    </row>
    <row r="136" spans="1:7" ht="15.6" x14ac:dyDescent="0.75">
      <c r="A136" s="93" t="s">
        <v>462</v>
      </c>
      <c r="B136" s="94">
        <v>176050</v>
      </c>
      <c r="C136" s="93">
        <v>5.9900000000000002E-2</v>
      </c>
      <c r="D136" s="94">
        <v>176050</v>
      </c>
      <c r="E136" s="93">
        <v>5.9900000000000002E-2</v>
      </c>
      <c r="F136" s="45">
        <f t="shared" si="27"/>
        <v>5.9900000000000002E-2</v>
      </c>
      <c r="G136" s="45">
        <f t="shared" si="28"/>
        <v>5.9900000000000002E-2</v>
      </c>
    </row>
    <row r="137" spans="1:7" ht="15.6" x14ac:dyDescent="0.75">
      <c r="A137" s="93" t="s">
        <v>464</v>
      </c>
      <c r="B137" s="94">
        <v>0</v>
      </c>
      <c r="C137" s="95">
        <v>0</v>
      </c>
      <c r="D137" s="94">
        <v>0</v>
      </c>
      <c r="E137" s="95">
        <v>0</v>
      </c>
      <c r="F137" s="45">
        <f t="shared" si="27"/>
        <v>0</v>
      </c>
      <c r="G137" s="45">
        <f t="shared" si="28"/>
        <v>0</v>
      </c>
    </row>
    <row r="138" spans="1:7" ht="15.6" x14ac:dyDescent="0.75">
      <c r="A138" s="93" t="s">
        <v>464</v>
      </c>
      <c r="B138" s="94">
        <v>3460</v>
      </c>
      <c r="C138" s="95">
        <v>0.03</v>
      </c>
      <c r="D138" s="94">
        <v>3460</v>
      </c>
      <c r="E138" s="95">
        <v>0.03</v>
      </c>
      <c r="F138" s="45">
        <f t="shared" si="27"/>
        <v>0.03</v>
      </c>
      <c r="G138" s="45">
        <f t="shared" si="28"/>
        <v>0.03</v>
      </c>
    </row>
    <row r="139" spans="1:7" ht="15.6" x14ac:dyDescent="0.75">
      <c r="A139" s="93" t="s">
        <v>464</v>
      </c>
      <c r="B139" s="94">
        <v>17330</v>
      </c>
      <c r="C139" s="95">
        <v>6.4000000000000001E-2</v>
      </c>
      <c r="D139" s="94">
        <v>17330</v>
      </c>
      <c r="E139" s="95">
        <v>6.4000000000000001E-2</v>
      </c>
      <c r="F139" s="45">
        <f t="shared" si="27"/>
        <v>6.4000000000000001E-2</v>
      </c>
      <c r="G139" s="45">
        <f t="shared" si="28"/>
        <v>6.4000000000000001E-2</v>
      </c>
    </row>
    <row r="140" spans="1:7" ht="15.6" x14ac:dyDescent="0.75">
      <c r="A140" s="93" t="s">
        <v>463</v>
      </c>
      <c r="B140" s="94">
        <v>0</v>
      </c>
      <c r="C140" s="95">
        <v>0</v>
      </c>
      <c r="D140" s="94">
        <v>0</v>
      </c>
      <c r="E140" s="95">
        <v>0</v>
      </c>
      <c r="F140" s="45">
        <f t="shared" si="27"/>
        <v>0</v>
      </c>
      <c r="G140" s="45">
        <f t="shared" si="28"/>
        <v>0</v>
      </c>
    </row>
    <row r="141" spans="1:7" ht="15.6" x14ac:dyDescent="0.75">
      <c r="A141" s="93" t="s">
        <v>465</v>
      </c>
      <c r="B141" s="94">
        <v>0</v>
      </c>
      <c r="C141" s="95">
        <v>0</v>
      </c>
      <c r="D141" s="94">
        <v>0</v>
      </c>
      <c r="E141" s="95">
        <v>0</v>
      </c>
      <c r="F141" s="45">
        <f t="shared" si="27"/>
        <v>0</v>
      </c>
      <c r="G141" s="45">
        <f t="shared" si="28"/>
        <v>0</v>
      </c>
    </row>
    <row r="142" spans="1:7" ht="15.6" x14ac:dyDescent="0.75">
      <c r="A142" s="93" t="s">
        <v>466</v>
      </c>
      <c r="B142" s="94">
        <v>0</v>
      </c>
      <c r="C142" s="95">
        <v>0</v>
      </c>
      <c r="D142" s="94">
        <v>0</v>
      </c>
      <c r="E142" s="95">
        <v>0</v>
      </c>
      <c r="F142" s="45">
        <f t="shared" si="27"/>
        <v>0</v>
      </c>
      <c r="G142" s="45">
        <f t="shared" si="28"/>
        <v>0</v>
      </c>
    </row>
    <row r="143" spans="1:7" ht="15.6" x14ac:dyDescent="0.75">
      <c r="A143" s="93" t="s">
        <v>467</v>
      </c>
      <c r="B143" s="94">
        <v>0</v>
      </c>
      <c r="C143" s="95">
        <v>4.65E-2</v>
      </c>
      <c r="D143" s="94">
        <v>0</v>
      </c>
      <c r="E143" s="95">
        <v>4.65E-2</v>
      </c>
      <c r="F143" s="45">
        <f t="shared" si="27"/>
        <v>4.65E-2</v>
      </c>
      <c r="G143" s="45">
        <f t="shared" si="28"/>
        <v>4.65E-2</v>
      </c>
    </row>
    <row r="144" spans="1:7" ht="15.6" x14ac:dyDescent="0.75">
      <c r="A144" s="93" t="s">
        <v>468</v>
      </c>
      <c r="B144" s="94">
        <v>0</v>
      </c>
      <c r="C144" s="93">
        <v>3.3500000000000002E-2</v>
      </c>
      <c r="D144" s="94">
        <v>0</v>
      </c>
      <c r="E144" s="93">
        <v>3.3500000000000002E-2</v>
      </c>
      <c r="F144" s="45">
        <f t="shared" si="27"/>
        <v>3.3500000000000002E-2</v>
      </c>
      <c r="G144" s="45">
        <f t="shared" si="28"/>
        <v>3.3500000000000002E-2</v>
      </c>
    </row>
    <row r="145" spans="1:7" ht="15.6" x14ac:dyDescent="0.75">
      <c r="A145" s="93" t="s">
        <v>468</v>
      </c>
      <c r="B145" s="94">
        <v>45400</v>
      </c>
      <c r="C145" s="93">
        <v>6.6000000000000003E-2</v>
      </c>
      <c r="D145" s="94">
        <v>75850</v>
      </c>
      <c r="E145" s="93">
        <v>6.6000000000000003E-2</v>
      </c>
      <c r="F145" s="45">
        <f t="shared" si="27"/>
        <v>6.6000000000000003E-2</v>
      </c>
      <c r="G145" s="45">
        <f t="shared" si="28"/>
        <v>6.6000000000000003E-2</v>
      </c>
    </row>
    <row r="146" spans="1:7" ht="15.6" x14ac:dyDescent="0.75">
      <c r="A146" s="93" t="s">
        <v>468</v>
      </c>
      <c r="B146" s="94">
        <v>110050</v>
      </c>
      <c r="C146" s="93">
        <v>7.5999999999999998E-2</v>
      </c>
      <c r="D146" s="94">
        <v>183400</v>
      </c>
      <c r="E146" s="93">
        <v>7.5999999999999998E-2</v>
      </c>
      <c r="F146" s="45">
        <f t="shared" si="27"/>
        <v>7.5999999999999998E-2</v>
      </c>
      <c r="G146" s="45">
        <f t="shared" si="28"/>
        <v>7.5999999999999998E-2</v>
      </c>
    </row>
    <row r="147" spans="1:7" ht="15.6" x14ac:dyDescent="0.75">
      <c r="A147" s="93" t="s">
        <v>468</v>
      </c>
      <c r="B147" s="94">
        <v>229550</v>
      </c>
      <c r="C147" s="93">
        <v>8.7499999999999994E-2</v>
      </c>
      <c r="D147" s="94">
        <v>279450</v>
      </c>
      <c r="E147" s="93">
        <v>8.7499999999999994E-2</v>
      </c>
      <c r="F147" s="45">
        <f t="shared" si="27"/>
        <v>8.7499999999999994E-2</v>
      </c>
      <c r="G147" s="45">
        <f t="shared" si="28"/>
        <v>8.7499999999999994E-2</v>
      </c>
    </row>
    <row r="148" spans="1:7" ht="15.6" x14ac:dyDescent="0.75">
      <c r="A148" s="93" t="s">
        <v>469</v>
      </c>
      <c r="B148" s="94">
        <v>0</v>
      </c>
      <c r="C148" s="95">
        <v>0.02</v>
      </c>
      <c r="D148" s="94">
        <v>0</v>
      </c>
      <c r="E148" s="95">
        <v>0.02</v>
      </c>
      <c r="F148" s="45">
        <f t="shared" si="27"/>
        <v>0.02</v>
      </c>
      <c r="G148" s="45">
        <f t="shared" si="28"/>
        <v>0.02</v>
      </c>
    </row>
    <row r="149" spans="1:7" ht="15.6" x14ac:dyDescent="0.75">
      <c r="A149" s="93" t="s">
        <v>469</v>
      </c>
      <c r="B149" s="94">
        <v>3000</v>
      </c>
      <c r="C149" s="93">
        <v>0.03</v>
      </c>
      <c r="D149" s="94">
        <v>3000</v>
      </c>
      <c r="E149" s="93">
        <v>0.03</v>
      </c>
      <c r="F149" s="45">
        <f t="shared" si="27"/>
        <v>0.03</v>
      </c>
      <c r="G149" s="45">
        <f t="shared" si="28"/>
        <v>0.03</v>
      </c>
    </row>
    <row r="150" spans="1:7" ht="15.6" x14ac:dyDescent="0.75">
      <c r="A150" s="93" t="s">
        <v>469</v>
      </c>
      <c r="B150" s="94">
        <v>5000</v>
      </c>
      <c r="C150" s="93">
        <v>0.05</v>
      </c>
      <c r="D150" s="94">
        <v>5000</v>
      </c>
      <c r="E150" s="93">
        <v>0.05</v>
      </c>
      <c r="F150" s="45">
        <f t="shared" si="27"/>
        <v>0.05</v>
      </c>
      <c r="G150" s="45">
        <f t="shared" si="28"/>
        <v>0.05</v>
      </c>
    </row>
    <row r="151" spans="1:7" ht="15.6" x14ac:dyDescent="0.75">
      <c r="A151" s="93" t="s">
        <v>469</v>
      </c>
      <c r="B151" s="94">
        <v>17000</v>
      </c>
      <c r="C151" s="93">
        <v>5.7500000000000002E-2</v>
      </c>
      <c r="D151" s="94">
        <v>17000</v>
      </c>
      <c r="E151" s="93">
        <v>5.7500000000000002E-2</v>
      </c>
      <c r="F151" s="45">
        <f t="shared" si="27"/>
        <v>5.7500000000000002E-2</v>
      </c>
      <c r="G151" s="45">
        <f t="shared" si="28"/>
        <v>5.7500000000000002E-2</v>
      </c>
    </row>
    <row r="152" spans="1:7" ht="15.6" x14ac:dyDescent="0.75">
      <c r="A152" s="93" t="s">
        <v>470</v>
      </c>
      <c r="B152" s="94">
        <v>0</v>
      </c>
      <c r="C152" s="93">
        <v>7.0000000000000007E-2</v>
      </c>
      <c r="D152" s="94">
        <v>0</v>
      </c>
      <c r="E152" s="93">
        <v>7.0000000000000007E-2</v>
      </c>
      <c r="F152" s="45">
        <f t="shared" si="27"/>
        <v>7.0000000000000007E-2</v>
      </c>
      <c r="G152" s="45">
        <f t="shared" si="28"/>
        <v>7.0000000000000007E-2</v>
      </c>
    </row>
    <row r="153" spans="1:7" ht="15.6" x14ac:dyDescent="0.75">
      <c r="A153" s="93" t="s">
        <v>471</v>
      </c>
      <c r="B153" s="94">
        <v>0</v>
      </c>
      <c r="C153" s="95">
        <v>2.3599999999999999E-2</v>
      </c>
      <c r="D153" s="94">
        <v>0</v>
      </c>
      <c r="E153" s="95">
        <v>2.3599999999999999E-2</v>
      </c>
      <c r="F153" s="45">
        <f>C153+B$186</f>
        <v>2.3599999999999999E-2</v>
      </c>
      <c r="G153" s="45">
        <f>E153+B$186</f>
        <v>2.3599999999999999E-2</v>
      </c>
    </row>
    <row r="154" spans="1:7" ht="15.6" x14ac:dyDescent="0.75">
      <c r="A154" s="93" t="s">
        <v>471</v>
      </c>
      <c r="B154" s="94">
        <v>10000</v>
      </c>
      <c r="C154" s="93">
        <v>3.15E-2</v>
      </c>
      <c r="D154" s="94">
        <v>10000</v>
      </c>
      <c r="E154" s="93">
        <v>3.15E-2</v>
      </c>
      <c r="F154" s="45">
        <f t="shared" si="27"/>
        <v>3.15E-2</v>
      </c>
      <c r="G154" s="45">
        <f t="shared" ref="G154:G157" si="31">E154+B$186</f>
        <v>3.15E-2</v>
      </c>
    </row>
    <row r="155" spans="1:7" ht="15.6" x14ac:dyDescent="0.75">
      <c r="A155" s="93" t="s">
        <v>471</v>
      </c>
      <c r="B155" s="94">
        <v>25000</v>
      </c>
      <c r="C155" s="93">
        <v>3.5400000000000001E-2</v>
      </c>
      <c r="D155" s="94">
        <v>25000</v>
      </c>
      <c r="E155" s="93">
        <v>3.5400000000000001E-2</v>
      </c>
      <c r="F155" s="45">
        <f t="shared" si="27"/>
        <v>3.5400000000000001E-2</v>
      </c>
      <c r="G155" s="45">
        <f t="shared" si="31"/>
        <v>3.5400000000000001E-2</v>
      </c>
    </row>
    <row r="156" spans="1:7" ht="15.6" x14ac:dyDescent="0.75">
      <c r="A156" s="93" t="s">
        <v>471</v>
      </c>
      <c r="B156" s="94">
        <v>40000</v>
      </c>
      <c r="C156" s="93">
        <v>4.7199999999999999E-2</v>
      </c>
      <c r="D156" s="94">
        <v>40000</v>
      </c>
      <c r="E156" s="93">
        <v>4.7199999999999999E-2</v>
      </c>
      <c r="F156" s="45">
        <f t="shared" si="27"/>
        <v>4.7199999999999999E-2</v>
      </c>
      <c r="G156" s="45">
        <f t="shared" si="31"/>
        <v>4.7199999999999999E-2</v>
      </c>
    </row>
    <row r="157" spans="1:7" ht="15.6" x14ac:dyDescent="0.75">
      <c r="A157" s="93" t="s">
        <v>471</v>
      </c>
      <c r="B157" s="94">
        <v>60000</v>
      </c>
      <c r="C157" s="93">
        <v>5.1200000000000002E-2</v>
      </c>
      <c r="D157" s="94">
        <v>60000</v>
      </c>
      <c r="E157" s="93">
        <v>5.1200000000000002E-2</v>
      </c>
      <c r="F157" s="45">
        <f t="shared" si="27"/>
        <v>5.1200000000000002E-2</v>
      </c>
      <c r="G157" s="45">
        <f t="shared" si="31"/>
        <v>5.1200000000000002E-2</v>
      </c>
    </row>
    <row r="158" spans="1:7" ht="15.6" x14ac:dyDescent="0.75">
      <c r="A158" s="93" t="s">
        <v>472</v>
      </c>
      <c r="B158" s="94">
        <v>0</v>
      </c>
      <c r="C158" s="95">
        <v>3.5000000000000003E-2</v>
      </c>
      <c r="D158" s="94">
        <v>0</v>
      </c>
      <c r="E158" s="95">
        <v>3.5000000000000003E-2</v>
      </c>
      <c r="F158" s="45">
        <f t="shared" si="27"/>
        <v>3.5000000000000003E-2</v>
      </c>
      <c r="G158" s="45">
        <f t="shared" si="28"/>
        <v>3.5000000000000003E-2</v>
      </c>
    </row>
    <row r="159" spans="1:7" ht="15.6" x14ac:dyDescent="0.75">
      <c r="A159" s="93" t="s">
        <v>472</v>
      </c>
      <c r="B159" s="94">
        <v>14320</v>
      </c>
      <c r="C159" s="93">
        <v>4.3999999999999997E-2</v>
      </c>
      <c r="D159" s="94">
        <v>19090</v>
      </c>
      <c r="E159" s="93">
        <v>4.3999999999999997E-2</v>
      </c>
      <c r="F159" s="45">
        <f t="shared" si="27"/>
        <v>4.3999999999999997E-2</v>
      </c>
      <c r="G159" s="45">
        <f t="shared" si="28"/>
        <v>4.3999999999999997E-2</v>
      </c>
    </row>
    <row r="160" spans="1:7" ht="15.6" x14ac:dyDescent="0.75">
      <c r="A160" s="93" t="s">
        <v>472</v>
      </c>
      <c r="B160" s="94">
        <v>28640</v>
      </c>
      <c r="C160" s="95">
        <v>5.2999999999999999E-2</v>
      </c>
      <c r="D160" s="94">
        <v>38190</v>
      </c>
      <c r="E160" s="95">
        <v>5.2999999999999999E-2</v>
      </c>
      <c r="F160" s="45">
        <f t="shared" si="27"/>
        <v>5.2999999999999999E-2</v>
      </c>
      <c r="G160" s="45">
        <f t="shared" si="28"/>
        <v>5.2999999999999999E-2</v>
      </c>
    </row>
    <row r="161" spans="1:8" ht="15.6" x14ac:dyDescent="0.75">
      <c r="A161" s="93" t="s">
        <v>472</v>
      </c>
      <c r="B161" s="94">
        <v>315310</v>
      </c>
      <c r="C161" s="93">
        <v>7.6499999999999999E-2</v>
      </c>
      <c r="D161" s="94">
        <v>420420</v>
      </c>
      <c r="E161" s="93">
        <v>7.6499999999999999E-2</v>
      </c>
      <c r="F161" s="45">
        <f t="shared" si="27"/>
        <v>7.6499999999999999E-2</v>
      </c>
      <c r="G161" s="45">
        <f t="shared" si="28"/>
        <v>7.6499999999999999E-2</v>
      </c>
    </row>
    <row r="162" spans="1:8" ht="15.6" x14ac:dyDescent="0.75">
      <c r="A162" s="93" t="s">
        <v>473</v>
      </c>
      <c r="B162" s="94">
        <v>0</v>
      </c>
      <c r="C162" s="95">
        <v>0</v>
      </c>
      <c r="D162" s="94">
        <v>0</v>
      </c>
      <c r="E162" s="95">
        <v>0</v>
      </c>
      <c r="F162" s="45">
        <f t="shared" si="27"/>
        <v>0</v>
      </c>
      <c r="G162" s="45">
        <f t="shared" si="28"/>
        <v>0</v>
      </c>
    </row>
    <row r="163" spans="1:8" ht="15.6" x14ac:dyDescent="0.75">
      <c r="A163" s="93" t="s">
        <v>474</v>
      </c>
      <c r="B163" s="94">
        <v>0</v>
      </c>
      <c r="C163" s="93">
        <v>0.04</v>
      </c>
      <c r="D163" s="94">
        <v>0</v>
      </c>
      <c r="E163" s="95">
        <v>0.04</v>
      </c>
      <c r="F163" s="45">
        <f t="shared" si="27"/>
        <v>0.04</v>
      </c>
      <c r="G163" s="45">
        <f t="shared" si="28"/>
        <v>0.04</v>
      </c>
    </row>
    <row r="164" spans="1:8" ht="15.6" x14ac:dyDescent="0.75">
      <c r="A164" s="93" t="s">
        <v>474</v>
      </c>
      <c r="B164" s="94">
        <v>10000</v>
      </c>
      <c r="C164" s="93">
        <v>0.06</v>
      </c>
      <c r="D164" s="94">
        <v>10000</v>
      </c>
      <c r="E164" s="95">
        <v>0.06</v>
      </c>
      <c r="F164" s="45">
        <f t="shared" si="27"/>
        <v>0.06</v>
      </c>
      <c r="G164" s="45">
        <f t="shared" si="28"/>
        <v>0.06</v>
      </c>
    </row>
    <row r="165" spans="1:8" ht="15.6" x14ac:dyDescent="0.75">
      <c r="A165" s="93" t="s">
        <v>474</v>
      </c>
      <c r="B165" s="94">
        <v>40000</v>
      </c>
      <c r="C165" s="93">
        <v>6.5000000000000002E-2</v>
      </c>
      <c r="D165" s="94">
        <v>40000</v>
      </c>
      <c r="E165" s="95">
        <v>6.5000000000000002E-2</v>
      </c>
      <c r="F165" s="45">
        <f t="shared" si="27"/>
        <v>6.5000000000000002E-2</v>
      </c>
      <c r="G165" s="45">
        <f t="shared" si="28"/>
        <v>6.5000000000000002E-2</v>
      </c>
    </row>
    <row r="166" spans="1:8" ht="15.6" x14ac:dyDescent="0.75">
      <c r="A166" s="93" t="s">
        <v>474</v>
      </c>
      <c r="B166" s="94">
        <v>60000</v>
      </c>
      <c r="C166" s="93">
        <v>8.5000000000000006E-2</v>
      </c>
      <c r="D166" s="94">
        <v>60000</v>
      </c>
      <c r="E166" s="95">
        <v>8.5000000000000006E-2</v>
      </c>
      <c r="F166" s="45">
        <f t="shared" si="27"/>
        <v>8.5000000000000006E-2</v>
      </c>
      <c r="G166" s="45">
        <f t="shared" si="28"/>
        <v>8.5000000000000006E-2</v>
      </c>
    </row>
    <row r="167" spans="1:8" ht="15.6" x14ac:dyDescent="0.75">
      <c r="A167" s="93" t="s">
        <v>474</v>
      </c>
      <c r="B167" s="94">
        <v>250000</v>
      </c>
      <c r="C167" s="95">
        <v>9.2499999999999999E-2</v>
      </c>
      <c r="D167" s="94">
        <v>250000</v>
      </c>
      <c r="E167" s="95">
        <v>9.2499999999999999E-2</v>
      </c>
      <c r="F167" s="45">
        <f t="shared" si="27"/>
        <v>9.2499999999999999E-2</v>
      </c>
      <c r="G167" s="45">
        <f t="shared" si="28"/>
        <v>9.2499999999999999E-2</v>
      </c>
    </row>
    <row r="168" spans="1:8" ht="15.6" x14ac:dyDescent="0.75">
      <c r="A168" s="93" t="s">
        <v>474</v>
      </c>
      <c r="B168" s="94">
        <v>500000</v>
      </c>
      <c r="C168" s="95">
        <v>9.7500000000000003E-2</v>
      </c>
      <c r="D168" s="94">
        <v>500000</v>
      </c>
      <c r="E168" s="95">
        <v>9.7500000000000003E-2</v>
      </c>
      <c r="F168" s="45">
        <f t="shared" si="27"/>
        <v>9.7500000000000003E-2</v>
      </c>
      <c r="G168" s="45">
        <f t="shared" si="28"/>
        <v>9.7500000000000003E-2</v>
      </c>
    </row>
    <row r="169" spans="1:8" ht="15.6" x14ac:dyDescent="0.75">
      <c r="A169" s="93" t="s">
        <v>474</v>
      </c>
      <c r="B169" s="94">
        <v>1000000</v>
      </c>
      <c r="C169" s="95">
        <v>0.1075</v>
      </c>
      <c r="D169" s="94">
        <v>1000000</v>
      </c>
      <c r="E169" s="95">
        <v>0.1075</v>
      </c>
      <c r="F169" s="45">
        <f t="shared" si="27"/>
        <v>0.1075</v>
      </c>
      <c r="G169" s="45">
        <f t="shared" si="28"/>
        <v>0.1075</v>
      </c>
    </row>
    <row r="171" spans="1:8" ht="15.6" x14ac:dyDescent="0.75">
      <c r="A171" s="275" t="s">
        <v>475</v>
      </c>
      <c r="B171" s="275"/>
      <c r="C171" s="275"/>
      <c r="D171" s="275"/>
      <c r="E171" s="275"/>
      <c r="F171" s="275"/>
      <c r="G171" s="275"/>
      <c r="H171" s="275"/>
    </row>
    <row r="172" spans="1:8" x14ac:dyDescent="0.55000000000000004">
      <c r="A172" s="41" t="s">
        <v>426</v>
      </c>
      <c r="B172" s="37">
        <v>1E-3</v>
      </c>
      <c r="C172" s="274"/>
      <c r="D172" s="274"/>
      <c r="E172" s="274"/>
      <c r="F172" s="274"/>
      <c r="G172" s="274"/>
      <c r="H172" s="274"/>
    </row>
    <row r="173" spans="1:8" x14ac:dyDescent="0.55000000000000004">
      <c r="A173" s="41" t="s">
        <v>663</v>
      </c>
      <c r="B173" s="37">
        <v>0</v>
      </c>
      <c r="C173" s="220"/>
      <c r="D173" s="273"/>
      <c r="E173" s="273"/>
      <c r="F173" s="273"/>
      <c r="G173" s="273"/>
      <c r="H173" s="221"/>
    </row>
    <row r="174" spans="1:8" x14ac:dyDescent="0.55000000000000004">
      <c r="A174" s="41" t="s">
        <v>433</v>
      </c>
      <c r="B174" s="37">
        <v>1.6000000000000001E-3</v>
      </c>
      <c r="C174" s="274"/>
      <c r="D174" s="274"/>
      <c r="E174" s="274"/>
      <c r="F174" s="274"/>
      <c r="G174" s="274"/>
      <c r="H174" s="274"/>
    </row>
    <row r="175" spans="1:8" x14ac:dyDescent="0.55000000000000004">
      <c r="A175" s="41" t="s">
        <v>438</v>
      </c>
      <c r="B175" s="37">
        <v>6.1999999999999998E-3</v>
      </c>
      <c r="C175" s="274"/>
      <c r="D175" s="274"/>
      <c r="E175" s="274"/>
      <c r="F175" s="274"/>
      <c r="G175" s="274"/>
      <c r="H175" s="274"/>
    </row>
    <row r="176" spans="1:8" x14ac:dyDescent="0.55000000000000004">
      <c r="A176" s="41" t="s">
        <v>309</v>
      </c>
      <c r="B176" s="37">
        <v>1.1000000000000001E-3</v>
      </c>
      <c r="C176" s="274"/>
      <c r="D176" s="274"/>
      <c r="E176" s="274"/>
      <c r="F176" s="274"/>
      <c r="G176" s="274"/>
      <c r="H176" s="274"/>
    </row>
    <row r="177" spans="1:8" ht="15.6" x14ac:dyDescent="0.75">
      <c r="A177" s="129" t="s">
        <v>442</v>
      </c>
      <c r="B177" s="37">
        <v>1.3299999999999999E-2</v>
      </c>
      <c r="C177" s="274"/>
      <c r="D177" s="274"/>
      <c r="E177" s="274"/>
      <c r="F177" s="274"/>
      <c r="G177" s="274"/>
      <c r="H177" s="274"/>
    </row>
    <row r="178" spans="1:8" x14ac:dyDescent="0.55000000000000004">
      <c r="A178" s="41" t="s">
        <v>444</v>
      </c>
      <c r="B178" s="37">
        <v>2.4E-2</v>
      </c>
      <c r="C178" s="274"/>
      <c r="D178" s="274"/>
      <c r="E178" s="274"/>
      <c r="F178" s="274"/>
      <c r="G178" s="274"/>
      <c r="H178" s="274"/>
    </row>
    <row r="179" spans="1:8" x14ac:dyDescent="0.55000000000000004">
      <c r="A179" s="41" t="s">
        <v>446</v>
      </c>
      <c r="B179" s="37">
        <v>1.6999999999999999E-3</v>
      </c>
      <c r="C179" s="274"/>
      <c r="D179" s="274"/>
      <c r="E179" s="274"/>
      <c r="F179" s="274"/>
      <c r="G179" s="274"/>
      <c r="H179" s="274"/>
    </row>
    <row r="180" spans="1:8" x14ac:dyDescent="0.55000000000000004">
      <c r="A180" s="41" t="s">
        <v>449</v>
      </c>
      <c r="B180" s="37">
        <v>2.2000000000000001E-3</v>
      </c>
      <c r="C180" s="274"/>
      <c r="D180" s="274"/>
      <c r="E180" s="274"/>
      <c r="F180" s="274"/>
      <c r="G180" s="274"/>
      <c r="H180" s="274"/>
    </row>
    <row r="181" spans="1:8" x14ac:dyDescent="0.55000000000000004">
      <c r="A181" s="41" t="s">
        <v>454</v>
      </c>
      <c r="B181" s="37">
        <v>0</v>
      </c>
      <c r="C181" s="220"/>
      <c r="D181" s="273"/>
      <c r="E181" s="273"/>
      <c r="F181" s="273"/>
      <c r="G181" s="273"/>
      <c r="H181" s="221"/>
    </row>
    <row r="182" spans="1:8" x14ac:dyDescent="0.55000000000000004">
      <c r="A182" s="41" t="s">
        <v>456</v>
      </c>
      <c r="B182" s="37">
        <v>0</v>
      </c>
      <c r="C182" s="274" t="s">
        <v>476</v>
      </c>
      <c r="D182" s="274"/>
      <c r="E182" s="274"/>
      <c r="F182" s="274"/>
      <c r="G182" s="274"/>
      <c r="H182" s="274"/>
    </row>
    <row r="183" spans="1:8" x14ac:dyDescent="0.55000000000000004">
      <c r="A183" s="41" t="s">
        <v>458</v>
      </c>
      <c r="B183" s="37">
        <v>1.5699999999999999E-2</v>
      </c>
      <c r="C183" s="274"/>
      <c r="D183" s="274"/>
      <c r="E183" s="274"/>
      <c r="F183" s="274"/>
      <c r="G183" s="274"/>
      <c r="H183" s="274"/>
    </row>
    <row r="184" spans="1:8" x14ac:dyDescent="0.55000000000000004">
      <c r="A184" s="41" t="s">
        <v>664</v>
      </c>
      <c r="B184" s="37">
        <v>0</v>
      </c>
      <c r="C184" s="220"/>
      <c r="D184" s="273"/>
      <c r="E184" s="273"/>
      <c r="F184" s="273"/>
      <c r="G184" s="273"/>
      <c r="H184" s="221"/>
    </row>
    <row r="185" spans="1:8" x14ac:dyDescent="0.55000000000000004">
      <c r="A185" s="41" t="s">
        <v>461</v>
      </c>
      <c r="B185" s="37">
        <v>1.23E-2</v>
      </c>
      <c r="C185" s="274"/>
      <c r="D185" s="274"/>
      <c r="E185" s="274"/>
      <c r="F185" s="274"/>
      <c r="G185" s="274"/>
      <c r="H185" s="274"/>
    </row>
    <row r="186" spans="1:8" x14ac:dyDescent="0.55000000000000004">
      <c r="A186" s="41" t="s">
        <v>665</v>
      </c>
      <c r="B186" s="37">
        <v>0</v>
      </c>
      <c r="C186" s="220"/>
      <c r="D186" s="273"/>
      <c r="E186" s="273"/>
      <c r="F186" s="273"/>
      <c r="G186" s="273"/>
      <c r="H186" s="221"/>
    </row>
    <row r="236" spans="1:1" ht="15.6" x14ac:dyDescent="0.75">
      <c r="A236" s="93" t="s">
        <v>474</v>
      </c>
    </row>
  </sheetData>
  <mergeCells count="19">
    <mergeCell ref="C179:H179"/>
    <mergeCell ref="A1:E1"/>
    <mergeCell ref="F1:G1"/>
    <mergeCell ref="A171:B171"/>
    <mergeCell ref="C171:H171"/>
    <mergeCell ref="C172:H172"/>
    <mergeCell ref="C173:H173"/>
    <mergeCell ref="C174:H174"/>
    <mergeCell ref="C175:H175"/>
    <mergeCell ref="C176:H176"/>
    <mergeCell ref="C177:H177"/>
    <mergeCell ref="C178:H178"/>
    <mergeCell ref="C186:H186"/>
    <mergeCell ref="C180:H180"/>
    <mergeCell ref="C181:H181"/>
    <mergeCell ref="C182:H182"/>
    <mergeCell ref="C183:H183"/>
    <mergeCell ref="C184:H184"/>
    <mergeCell ref="C185:H185"/>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527A5-E3A8-454E-A745-2169D9EB0D20}">
  <sheetPr codeName="Sheet4"/>
  <dimension ref="A1"/>
  <sheetViews>
    <sheetView workbookViewId="0">
      <selection activeCell="A4" sqref="A4"/>
    </sheetView>
  </sheetViews>
  <sheetFormatPr defaultRowHeight="14.4" x14ac:dyDescent="0.55000000000000004"/>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222807-4EE2-4DCB-BE18-05AD22D8119E}">
  <sheetPr codeName="Sheet1"/>
  <dimension ref="A1:T265"/>
  <sheetViews>
    <sheetView zoomScale="90" zoomScaleNormal="90" workbookViewId="0">
      <selection activeCell="I6" sqref="I6"/>
    </sheetView>
  </sheetViews>
  <sheetFormatPr defaultColWidth="13.68359375" defaultRowHeight="12.3" x14ac:dyDescent="0.4"/>
  <cols>
    <col min="1" max="1" width="20.05078125" style="127" customWidth="1"/>
    <col min="2" max="2" width="13.68359375" style="127"/>
    <col min="3" max="3" width="2.05078125" style="127" customWidth="1"/>
    <col min="4" max="5" width="13.68359375" style="127"/>
    <col min="6" max="6" width="2.05078125" style="127" customWidth="1"/>
    <col min="7" max="7" width="13.68359375" style="127"/>
    <col min="8" max="8" width="12.578125" style="127" customWidth="1"/>
    <col min="9" max="9" width="13.1015625" style="127" bestFit="1" customWidth="1"/>
    <col min="10" max="10" width="9.47265625" style="127" customWidth="1"/>
    <col min="11" max="11" width="9.62890625" style="127" customWidth="1"/>
    <col min="12" max="12" width="13.41796875" style="127" bestFit="1" customWidth="1"/>
    <col min="13" max="13" width="13" style="127" customWidth="1"/>
    <col min="14" max="16384" width="13.68359375" style="127"/>
  </cols>
  <sheetData>
    <row r="1" spans="1:20" ht="102.3" customHeight="1" x14ac:dyDescent="0.4">
      <c r="A1" s="276" t="s">
        <v>522</v>
      </c>
      <c r="B1" s="277"/>
      <c r="C1" s="277"/>
      <c r="D1" s="277"/>
      <c r="E1" s="277"/>
      <c r="F1" s="277"/>
      <c r="G1" s="277"/>
      <c r="H1" s="277"/>
      <c r="I1" s="277"/>
      <c r="J1" s="277"/>
      <c r="K1" s="277"/>
      <c r="L1" s="277"/>
    </row>
    <row r="2" spans="1:20" s="85" customFormat="1" ht="15.75" customHeight="1" thickBot="1" x14ac:dyDescent="0.8">
      <c r="A2" s="82"/>
      <c r="B2" s="278" t="s">
        <v>267</v>
      </c>
      <c r="C2" s="279"/>
      <c r="D2" s="279"/>
      <c r="E2" s="278" t="s">
        <v>268</v>
      </c>
      <c r="F2" s="279"/>
      <c r="G2" s="279"/>
      <c r="H2" s="278" t="s">
        <v>269</v>
      </c>
      <c r="I2" s="279"/>
      <c r="J2" s="278" t="s">
        <v>270</v>
      </c>
      <c r="K2" s="279"/>
      <c r="L2" s="279"/>
      <c r="M2" s="84"/>
      <c r="N2" s="84"/>
      <c r="O2" s="84" t="s">
        <v>271</v>
      </c>
      <c r="P2" s="84"/>
      <c r="Q2" s="84"/>
      <c r="R2" s="83"/>
      <c r="S2" s="83"/>
      <c r="T2" s="83"/>
    </row>
    <row r="3" spans="1:20" s="85" customFormat="1" ht="15.75" customHeight="1" thickTop="1" x14ac:dyDescent="0.75">
      <c r="A3" s="86" t="s">
        <v>272</v>
      </c>
      <c r="B3" s="87" t="s">
        <v>83</v>
      </c>
      <c r="C3" s="88"/>
      <c r="D3" s="86" t="s">
        <v>273</v>
      </c>
      <c r="E3" s="89" t="s">
        <v>83</v>
      </c>
      <c r="F3" s="88"/>
      <c r="G3" s="86" t="s">
        <v>273</v>
      </c>
      <c r="H3" s="90" t="s">
        <v>29</v>
      </c>
      <c r="I3" s="91" t="s">
        <v>274</v>
      </c>
      <c r="J3" s="90" t="s">
        <v>29</v>
      </c>
      <c r="K3" s="91" t="s">
        <v>274</v>
      </c>
      <c r="L3" s="91" t="s">
        <v>275</v>
      </c>
      <c r="M3" s="88"/>
      <c r="N3" s="88"/>
      <c r="O3" s="88"/>
      <c r="P3" s="88"/>
      <c r="Q3" s="88"/>
      <c r="R3" s="86"/>
      <c r="S3" s="86"/>
      <c r="T3" s="86"/>
    </row>
    <row r="4" spans="1:20" s="85" customFormat="1" ht="15.75" customHeight="1" x14ac:dyDescent="0.75">
      <c r="A4" s="92" t="s">
        <v>276</v>
      </c>
      <c r="B4" s="93">
        <v>0.02</v>
      </c>
      <c r="C4" s="85" t="s">
        <v>277</v>
      </c>
      <c r="D4" s="94">
        <v>0</v>
      </c>
      <c r="E4" s="95">
        <v>0.02</v>
      </c>
      <c r="F4" s="85" t="s">
        <v>277</v>
      </c>
      <c r="G4" s="94">
        <v>0</v>
      </c>
      <c r="H4" s="96">
        <v>3000</v>
      </c>
      <c r="I4" s="94">
        <v>8500</v>
      </c>
      <c r="J4" s="96">
        <v>1500</v>
      </c>
      <c r="K4" s="94">
        <v>3000</v>
      </c>
      <c r="L4" s="94">
        <v>1000</v>
      </c>
      <c r="M4" s="97"/>
      <c r="R4" s="92"/>
      <c r="S4" s="92"/>
      <c r="T4" s="92"/>
    </row>
    <row r="5" spans="1:20" s="85" customFormat="1" ht="15.75" customHeight="1" x14ac:dyDescent="0.75">
      <c r="A5" s="92" t="s">
        <v>278</v>
      </c>
      <c r="B5" s="93">
        <v>0.04</v>
      </c>
      <c r="C5" s="85" t="s">
        <v>277</v>
      </c>
      <c r="D5" s="94">
        <v>500</v>
      </c>
      <c r="E5" s="95">
        <v>0.04</v>
      </c>
      <c r="F5" s="85" t="s">
        <v>277</v>
      </c>
      <c r="G5" s="94">
        <v>1000</v>
      </c>
      <c r="H5" s="98"/>
      <c r="I5" s="98">
        <v>12</v>
      </c>
      <c r="J5" s="99"/>
      <c r="K5" s="100"/>
      <c r="L5" s="101"/>
      <c r="R5" s="92"/>
      <c r="S5" s="92"/>
      <c r="T5" s="92"/>
    </row>
    <row r="6" spans="1:20" s="85" customFormat="1" ht="15.75" customHeight="1" x14ac:dyDescent="0.75">
      <c r="A6" s="102"/>
      <c r="B6" s="93">
        <v>0.05</v>
      </c>
      <c r="C6" s="85" t="s">
        <v>277</v>
      </c>
      <c r="D6" s="94">
        <v>3000</v>
      </c>
      <c r="E6" s="95">
        <v>0.05</v>
      </c>
      <c r="F6" s="85" t="s">
        <v>277</v>
      </c>
      <c r="G6" s="94">
        <v>6000</v>
      </c>
      <c r="H6" s="99"/>
      <c r="I6" s="100"/>
      <c r="J6" s="99"/>
      <c r="K6" s="100"/>
      <c r="L6" s="92"/>
      <c r="R6" s="92"/>
      <c r="S6" s="92"/>
      <c r="T6" s="92"/>
    </row>
    <row r="7" spans="1:20" s="85" customFormat="1" ht="15.75" customHeight="1" x14ac:dyDescent="0.75">
      <c r="A7" s="102"/>
      <c r="B7" s="103"/>
      <c r="D7" s="92"/>
      <c r="E7" s="104"/>
      <c r="G7" s="92"/>
      <c r="H7" s="99"/>
      <c r="I7" s="100"/>
      <c r="J7" s="99"/>
      <c r="K7" s="100"/>
      <c r="L7" s="100"/>
      <c r="R7" s="92"/>
      <c r="S7" s="92"/>
      <c r="T7" s="92"/>
    </row>
    <row r="8" spans="1:20" s="85" customFormat="1" ht="15.75" customHeight="1" x14ac:dyDescent="0.75">
      <c r="A8" s="92" t="s">
        <v>279</v>
      </c>
      <c r="B8" s="280" t="s">
        <v>280</v>
      </c>
      <c r="C8" s="281"/>
      <c r="D8" s="281"/>
      <c r="E8" s="280" t="s">
        <v>280</v>
      </c>
      <c r="F8" s="281"/>
      <c r="G8" s="281"/>
      <c r="H8" s="99" t="s">
        <v>281</v>
      </c>
      <c r="I8" s="100" t="s">
        <v>281</v>
      </c>
      <c r="J8" s="99" t="s">
        <v>281</v>
      </c>
      <c r="K8" s="100" t="s">
        <v>281</v>
      </c>
      <c r="L8" s="100" t="s">
        <v>281</v>
      </c>
      <c r="M8" s="97"/>
      <c r="R8" s="92"/>
      <c r="S8" s="92"/>
      <c r="T8" s="92"/>
    </row>
    <row r="9" spans="1:20" s="85" customFormat="1" ht="15.75" customHeight="1" x14ac:dyDescent="0.75">
      <c r="A9" s="102"/>
      <c r="B9" s="103"/>
      <c r="D9" s="92"/>
      <c r="E9" s="104"/>
      <c r="G9" s="92"/>
      <c r="H9" s="99"/>
      <c r="I9" s="100"/>
      <c r="J9" s="99"/>
      <c r="K9" s="100"/>
      <c r="L9" s="100"/>
      <c r="R9" s="92"/>
      <c r="S9" s="92"/>
      <c r="T9" s="92"/>
    </row>
    <row r="10" spans="1:20" s="85" customFormat="1" ht="15.75" customHeight="1" x14ac:dyDescent="0.75">
      <c r="A10" s="92" t="s">
        <v>282</v>
      </c>
      <c r="B10" s="93">
        <v>2.5000000000000001E-2</v>
      </c>
      <c r="C10" s="85" t="s">
        <v>277</v>
      </c>
      <c r="D10" s="94">
        <v>0</v>
      </c>
      <c r="E10" s="95">
        <v>2.5000000000000001E-2</v>
      </c>
      <c r="F10" s="85" t="s">
        <v>277</v>
      </c>
      <c r="G10" s="94">
        <v>0</v>
      </c>
      <c r="H10" s="96">
        <v>14600</v>
      </c>
      <c r="I10" s="94">
        <v>29200</v>
      </c>
      <c r="J10" s="96" t="s">
        <v>281</v>
      </c>
      <c r="K10" s="94" t="s">
        <v>281</v>
      </c>
      <c r="L10" s="100" t="s">
        <v>283</v>
      </c>
      <c r="M10" s="97"/>
      <c r="R10" s="92"/>
      <c r="S10" s="92"/>
      <c r="T10" s="92"/>
    </row>
    <row r="11" spans="1:20" s="85" customFormat="1" ht="15.75" customHeight="1" x14ac:dyDescent="0.75">
      <c r="A11" s="102"/>
      <c r="B11" s="105"/>
      <c r="D11" s="92"/>
      <c r="E11" s="104"/>
      <c r="G11" s="92"/>
      <c r="H11" s="99"/>
      <c r="I11" s="100"/>
      <c r="J11" s="99"/>
      <c r="K11" s="100"/>
      <c r="L11" s="100"/>
      <c r="R11" s="92"/>
      <c r="S11" s="92"/>
      <c r="T11" s="92"/>
    </row>
    <row r="12" spans="1:20" s="85" customFormat="1" ht="15.75" customHeight="1" x14ac:dyDescent="0.75">
      <c r="A12" s="92" t="s">
        <v>284</v>
      </c>
      <c r="B12" s="93">
        <v>0.02</v>
      </c>
      <c r="C12" s="85" t="s">
        <v>277</v>
      </c>
      <c r="D12" s="94">
        <v>0</v>
      </c>
      <c r="E12" s="95">
        <v>0.02</v>
      </c>
      <c r="F12" s="85" t="s">
        <v>277</v>
      </c>
      <c r="G12" s="94">
        <v>0</v>
      </c>
      <c r="H12" s="96">
        <v>2340</v>
      </c>
      <c r="I12" s="94">
        <v>4680</v>
      </c>
      <c r="J12" s="100" t="s">
        <v>285</v>
      </c>
      <c r="K12" s="100" t="s">
        <v>286</v>
      </c>
      <c r="L12" s="100" t="s">
        <v>285</v>
      </c>
      <c r="M12" s="97"/>
      <c r="N12" s="106"/>
      <c r="R12" s="92"/>
      <c r="S12" s="92"/>
      <c r="T12" s="92"/>
    </row>
    <row r="13" spans="1:20" s="85" customFormat="1" ht="15.75" customHeight="1" x14ac:dyDescent="0.75">
      <c r="A13" s="92" t="s">
        <v>287</v>
      </c>
      <c r="B13" s="93">
        <v>0.04</v>
      </c>
      <c r="C13" s="85" t="s">
        <v>277</v>
      </c>
      <c r="D13" s="94">
        <v>4400</v>
      </c>
      <c r="E13" s="95">
        <v>0.04</v>
      </c>
      <c r="F13" s="85" t="s">
        <v>277</v>
      </c>
      <c r="G13" s="94">
        <v>4400</v>
      </c>
      <c r="H13" s="99"/>
      <c r="I13" s="100"/>
      <c r="J13" s="99"/>
      <c r="K13" s="100"/>
      <c r="L13" s="100"/>
      <c r="R13" s="92"/>
      <c r="S13" s="92"/>
      <c r="T13" s="92"/>
    </row>
    <row r="14" spans="1:20" s="85" customFormat="1" ht="15.75" customHeight="1" x14ac:dyDescent="0.75">
      <c r="A14" s="102"/>
      <c r="B14" s="95">
        <v>4.3999999999999997E-2</v>
      </c>
      <c r="C14" s="85" t="s">
        <v>277</v>
      </c>
      <c r="D14" s="94">
        <v>8800</v>
      </c>
      <c r="E14" s="95">
        <v>4.3999999999999997E-2</v>
      </c>
      <c r="F14" s="85" t="s">
        <v>277</v>
      </c>
      <c r="G14" s="94">
        <v>8800</v>
      </c>
      <c r="H14" s="99"/>
      <c r="I14" s="100"/>
      <c r="J14" s="99"/>
      <c r="K14" s="100"/>
      <c r="L14" s="100"/>
      <c r="R14" s="92"/>
      <c r="S14" s="92"/>
      <c r="T14" s="92"/>
    </row>
    <row r="15" spans="1:20" s="85" customFormat="1" ht="15.75" customHeight="1" x14ac:dyDescent="0.75">
      <c r="A15" s="102"/>
      <c r="B15" s="107"/>
      <c r="D15" s="94"/>
      <c r="E15" s="95"/>
      <c r="G15" s="94"/>
      <c r="H15" s="99"/>
      <c r="I15" s="100"/>
      <c r="J15" s="99"/>
      <c r="K15" s="100"/>
      <c r="L15" s="100"/>
      <c r="R15" s="92"/>
      <c r="S15" s="92"/>
      <c r="T15" s="92"/>
    </row>
    <row r="16" spans="1:20" s="85" customFormat="1" ht="15.75" customHeight="1" x14ac:dyDescent="0.75">
      <c r="A16" s="92" t="s">
        <v>288</v>
      </c>
      <c r="B16" s="95">
        <v>0.01</v>
      </c>
      <c r="C16" s="92" t="s">
        <v>277</v>
      </c>
      <c r="D16" s="94">
        <v>0</v>
      </c>
      <c r="E16" s="95">
        <v>0.01</v>
      </c>
      <c r="F16" s="85" t="s">
        <v>277</v>
      </c>
      <c r="G16" s="94">
        <v>0</v>
      </c>
      <c r="H16" s="96">
        <v>5363</v>
      </c>
      <c r="I16" s="94">
        <v>10726</v>
      </c>
      <c r="J16" s="108" t="s">
        <v>289</v>
      </c>
      <c r="K16" s="108" t="s">
        <v>290</v>
      </c>
      <c r="L16" s="100" t="s">
        <v>291</v>
      </c>
      <c r="M16" s="97"/>
      <c r="N16" s="106"/>
      <c r="R16" s="92"/>
      <c r="S16" s="92"/>
      <c r="T16" s="92"/>
    </row>
    <row r="17" spans="1:20" s="85" customFormat="1" ht="15.75" customHeight="1" x14ac:dyDescent="0.75">
      <c r="A17" s="92" t="s">
        <v>292</v>
      </c>
      <c r="B17" s="95">
        <v>0.02</v>
      </c>
      <c r="C17" s="92" t="s">
        <v>277</v>
      </c>
      <c r="D17" s="94">
        <v>10412</v>
      </c>
      <c r="E17" s="95">
        <v>0.02</v>
      </c>
      <c r="F17" s="85" t="s">
        <v>277</v>
      </c>
      <c r="G17" s="94">
        <v>20824</v>
      </c>
      <c r="H17" s="99"/>
      <c r="I17" s="100"/>
      <c r="J17" s="99"/>
      <c r="K17" s="100"/>
      <c r="L17" s="100"/>
      <c r="N17" s="106"/>
      <c r="R17" s="92"/>
      <c r="S17" s="92"/>
      <c r="T17" s="92"/>
    </row>
    <row r="18" spans="1:20" s="85" customFormat="1" ht="15.75" customHeight="1" x14ac:dyDescent="0.75">
      <c r="A18" s="102"/>
      <c r="B18" s="95">
        <v>0.04</v>
      </c>
      <c r="C18" s="92" t="s">
        <v>277</v>
      </c>
      <c r="D18" s="94">
        <v>24684</v>
      </c>
      <c r="E18" s="95">
        <v>0.04</v>
      </c>
      <c r="F18" s="85" t="s">
        <v>277</v>
      </c>
      <c r="G18" s="94">
        <v>49368</v>
      </c>
      <c r="H18" s="99"/>
      <c r="I18" s="100"/>
      <c r="J18" s="99"/>
      <c r="K18" s="100"/>
      <c r="L18" s="100"/>
      <c r="R18" s="92"/>
      <c r="S18" s="92"/>
      <c r="T18" s="92"/>
    </row>
    <row r="19" spans="1:20" s="85" customFormat="1" ht="15.75" customHeight="1" x14ac:dyDescent="0.75">
      <c r="A19" s="102"/>
      <c r="B19" s="95">
        <v>0.06</v>
      </c>
      <c r="C19" s="92" t="s">
        <v>277</v>
      </c>
      <c r="D19" s="94">
        <v>38959</v>
      </c>
      <c r="E19" s="95">
        <v>0.06</v>
      </c>
      <c r="F19" s="85" t="s">
        <v>277</v>
      </c>
      <c r="G19" s="94">
        <v>77918</v>
      </c>
      <c r="H19" s="99"/>
      <c r="I19" s="100"/>
      <c r="J19" s="99"/>
      <c r="K19" s="100"/>
      <c r="L19" s="100"/>
      <c r="R19" s="92"/>
      <c r="S19" s="92"/>
      <c r="T19" s="92"/>
    </row>
    <row r="20" spans="1:20" s="85" customFormat="1" ht="15.75" customHeight="1" x14ac:dyDescent="0.75">
      <c r="A20" s="102"/>
      <c r="B20" s="95">
        <v>0.08</v>
      </c>
      <c r="C20" s="92" t="s">
        <v>277</v>
      </c>
      <c r="D20" s="94">
        <v>54081</v>
      </c>
      <c r="E20" s="95">
        <v>0.08</v>
      </c>
      <c r="F20" s="85" t="s">
        <v>277</v>
      </c>
      <c r="G20" s="94">
        <v>108162</v>
      </c>
      <c r="H20" s="99"/>
      <c r="I20" s="100"/>
      <c r="J20" s="99"/>
      <c r="K20" s="100"/>
      <c r="L20" s="100"/>
      <c r="R20" s="92"/>
      <c r="S20" s="92"/>
      <c r="T20" s="92"/>
    </row>
    <row r="21" spans="1:20" s="85" customFormat="1" ht="15.75" customHeight="1" x14ac:dyDescent="0.75">
      <c r="A21" s="102"/>
      <c r="B21" s="95">
        <v>9.2999999999999999E-2</v>
      </c>
      <c r="C21" s="92" t="s">
        <v>277</v>
      </c>
      <c r="D21" s="94">
        <v>68350</v>
      </c>
      <c r="E21" s="95">
        <v>9.2999999999999999E-2</v>
      </c>
      <c r="F21" s="85" t="s">
        <v>277</v>
      </c>
      <c r="G21" s="94">
        <v>136700</v>
      </c>
      <c r="H21" s="99"/>
      <c r="I21" s="100"/>
      <c r="J21" s="99"/>
      <c r="K21" s="100"/>
      <c r="L21" s="100"/>
      <c r="R21" s="92"/>
      <c r="S21" s="92"/>
      <c r="T21" s="92"/>
    </row>
    <row r="22" spans="1:20" s="85" customFormat="1" ht="15.75" customHeight="1" x14ac:dyDescent="0.75">
      <c r="A22" s="102"/>
      <c r="B22" s="95">
        <v>0.10299999999999999</v>
      </c>
      <c r="C22" s="92" t="s">
        <v>277</v>
      </c>
      <c r="D22" s="94">
        <v>349137</v>
      </c>
      <c r="E22" s="95">
        <v>0.10299999999999999</v>
      </c>
      <c r="F22" s="85" t="s">
        <v>277</v>
      </c>
      <c r="G22" s="94">
        <v>698274</v>
      </c>
      <c r="H22" s="99"/>
      <c r="I22" s="100"/>
      <c r="J22" s="99"/>
      <c r="K22" s="100"/>
      <c r="L22" s="100"/>
      <c r="R22" s="92"/>
      <c r="S22" s="92"/>
      <c r="T22" s="92"/>
    </row>
    <row r="23" spans="1:20" s="85" customFormat="1" ht="15.75" customHeight="1" x14ac:dyDescent="0.75">
      <c r="A23" s="102"/>
      <c r="B23" s="95">
        <v>0.113</v>
      </c>
      <c r="C23" s="92" t="s">
        <v>277</v>
      </c>
      <c r="D23" s="94">
        <v>418961</v>
      </c>
      <c r="E23" s="95">
        <v>0.113</v>
      </c>
      <c r="F23" s="85" t="s">
        <v>277</v>
      </c>
      <c r="G23" s="94">
        <v>837922</v>
      </c>
      <c r="H23" s="99"/>
      <c r="I23" s="100"/>
      <c r="J23" s="99"/>
      <c r="K23" s="100"/>
      <c r="L23" s="100"/>
      <c r="R23" s="92"/>
      <c r="S23" s="92"/>
      <c r="T23" s="92"/>
    </row>
    <row r="24" spans="1:20" s="85" customFormat="1" ht="15.75" customHeight="1" x14ac:dyDescent="0.75">
      <c r="A24" s="102"/>
      <c r="B24" s="95">
        <v>0.123</v>
      </c>
      <c r="C24" s="92" t="s">
        <v>277</v>
      </c>
      <c r="D24" s="94">
        <v>698271</v>
      </c>
      <c r="E24" s="95">
        <v>0.123</v>
      </c>
      <c r="F24" s="85" t="s">
        <v>277</v>
      </c>
      <c r="G24" s="101">
        <v>1000000</v>
      </c>
      <c r="H24" s="95"/>
      <c r="I24" s="92"/>
      <c r="J24" s="99"/>
      <c r="K24" s="100"/>
      <c r="L24" s="100"/>
      <c r="R24" s="92"/>
      <c r="S24" s="92"/>
      <c r="T24" s="92"/>
    </row>
    <row r="25" spans="1:20" s="85" customFormat="1" ht="15.75" customHeight="1" x14ac:dyDescent="0.75">
      <c r="A25" s="102"/>
      <c r="B25" s="93">
        <v>0.13300000000000001</v>
      </c>
      <c r="C25" s="85" t="s">
        <v>277</v>
      </c>
      <c r="D25" s="94">
        <v>1000000</v>
      </c>
      <c r="E25" s="95">
        <v>0.13300000000000001</v>
      </c>
      <c r="F25" s="85" t="s">
        <v>277</v>
      </c>
      <c r="G25" s="101">
        <v>1396542</v>
      </c>
      <c r="H25" s="95"/>
      <c r="I25" s="92"/>
      <c r="J25" s="99"/>
      <c r="K25" s="100"/>
      <c r="L25" s="100"/>
      <c r="R25" s="92"/>
      <c r="S25" s="92"/>
      <c r="T25" s="92"/>
    </row>
    <row r="26" spans="1:20" s="85" customFormat="1" ht="15.75" customHeight="1" x14ac:dyDescent="0.75">
      <c r="A26" s="102"/>
      <c r="B26" s="103"/>
      <c r="D26" s="92"/>
      <c r="E26" s="104"/>
      <c r="G26" s="109"/>
      <c r="H26" s="99"/>
      <c r="I26" s="100"/>
      <c r="J26" s="99"/>
      <c r="K26" s="100"/>
      <c r="L26" s="100"/>
      <c r="R26" s="92"/>
      <c r="S26" s="92"/>
      <c r="T26" s="92"/>
    </row>
    <row r="27" spans="1:20" s="85" customFormat="1" ht="15.75" customHeight="1" x14ac:dyDescent="0.75">
      <c r="A27" s="92" t="s">
        <v>293</v>
      </c>
      <c r="B27" s="110">
        <v>4.3999999999999997E-2</v>
      </c>
      <c r="C27" s="85" t="s">
        <v>277</v>
      </c>
      <c r="D27" s="111">
        <v>0</v>
      </c>
      <c r="E27" s="112">
        <v>4.3999999999999997E-2</v>
      </c>
      <c r="F27" s="85" t="s">
        <v>277</v>
      </c>
      <c r="G27" s="111">
        <v>0</v>
      </c>
      <c r="H27" s="96">
        <v>14600</v>
      </c>
      <c r="I27" s="94">
        <v>29200</v>
      </c>
      <c r="J27" s="99" t="s">
        <v>281</v>
      </c>
      <c r="K27" s="100" t="s">
        <v>281</v>
      </c>
      <c r="L27" s="100" t="s">
        <v>281</v>
      </c>
      <c r="M27" s="97"/>
      <c r="R27" s="92"/>
      <c r="S27" s="92"/>
      <c r="T27" s="92"/>
    </row>
    <row r="28" spans="1:20" s="85" customFormat="1" ht="15.75" customHeight="1" x14ac:dyDescent="0.75">
      <c r="A28" s="102"/>
      <c r="B28" s="103"/>
      <c r="D28" s="92"/>
      <c r="E28" s="104"/>
      <c r="G28" s="92"/>
      <c r="H28" s="99"/>
      <c r="I28" s="100"/>
      <c r="J28" s="99"/>
      <c r="K28" s="100"/>
      <c r="L28" s="100"/>
      <c r="R28" s="92"/>
      <c r="S28" s="92"/>
      <c r="T28" s="92"/>
    </row>
    <row r="29" spans="1:20" s="85" customFormat="1" ht="15.6" x14ac:dyDescent="0.75">
      <c r="A29" s="92" t="s">
        <v>294</v>
      </c>
      <c r="B29" s="93">
        <v>0.02</v>
      </c>
      <c r="C29" s="85" t="s">
        <v>277</v>
      </c>
      <c r="D29" s="94">
        <v>0</v>
      </c>
      <c r="E29" s="93">
        <v>0.02</v>
      </c>
      <c r="F29" s="85" t="s">
        <v>277</v>
      </c>
      <c r="G29" s="94">
        <v>0</v>
      </c>
      <c r="H29" s="99" t="s">
        <v>281</v>
      </c>
      <c r="I29" s="100" t="s">
        <v>281</v>
      </c>
      <c r="J29" s="96">
        <v>15000</v>
      </c>
      <c r="K29" s="94">
        <v>24000</v>
      </c>
      <c r="L29" s="94">
        <v>0</v>
      </c>
      <c r="M29" s="97"/>
      <c r="R29" s="92"/>
      <c r="S29" s="92"/>
      <c r="T29" s="92"/>
    </row>
    <row r="30" spans="1:20" s="85" customFormat="1" ht="15.6" x14ac:dyDescent="0.75">
      <c r="A30" s="92" t="s">
        <v>295</v>
      </c>
      <c r="B30" s="93">
        <v>4.4999999999999998E-2</v>
      </c>
      <c r="C30" s="85" t="s">
        <v>277</v>
      </c>
      <c r="D30" s="94">
        <v>10000</v>
      </c>
      <c r="E30" s="93">
        <v>4.4999999999999998E-2</v>
      </c>
      <c r="F30" s="85" t="s">
        <v>277</v>
      </c>
      <c r="G30" s="94">
        <v>20000</v>
      </c>
      <c r="H30" s="99"/>
      <c r="I30" s="100"/>
      <c r="J30" s="99"/>
      <c r="K30" s="100"/>
      <c r="L30" s="100"/>
      <c r="R30" s="92"/>
      <c r="S30" s="92"/>
      <c r="T30" s="92"/>
    </row>
    <row r="31" spans="1:20" s="85" customFormat="1" ht="15.6" x14ac:dyDescent="0.75">
      <c r="A31" s="102"/>
      <c r="B31" s="93">
        <v>5.5E-2</v>
      </c>
      <c r="C31" s="85" t="s">
        <v>277</v>
      </c>
      <c r="D31" s="94">
        <v>50000</v>
      </c>
      <c r="E31" s="95">
        <v>5.5E-2</v>
      </c>
      <c r="F31" s="85" t="s">
        <v>277</v>
      </c>
      <c r="G31" s="94">
        <v>100000</v>
      </c>
      <c r="H31" s="99"/>
      <c r="I31" s="100"/>
      <c r="J31" s="99"/>
      <c r="K31" s="100"/>
      <c r="L31" s="100"/>
      <c r="R31" s="92"/>
      <c r="S31" s="92"/>
      <c r="T31" s="92"/>
    </row>
    <row r="32" spans="1:20" s="85" customFormat="1" ht="15.6" x14ac:dyDescent="0.75">
      <c r="A32" s="102"/>
      <c r="B32" s="93">
        <v>0.06</v>
      </c>
      <c r="C32" s="85" t="s">
        <v>277</v>
      </c>
      <c r="D32" s="94">
        <v>100000</v>
      </c>
      <c r="E32" s="95">
        <v>0.06</v>
      </c>
      <c r="F32" s="85" t="s">
        <v>277</v>
      </c>
      <c r="G32" s="94">
        <v>200000</v>
      </c>
      <c r="H32" s="99"/>
      <c r="I32" s="100"/>
      <c r="J32" s="99"/>
      <c r="K32" s="100"/>
      <c r="L32" s="100"/>
      <c r="R32" s="92"/>
      <c r="S32" s="92"/>
      <c r="T32" s="92"/>
    </row>
    <row r="33" spans="1:20" s="85" customFormat="1" ht="15.6" x14ac:dyDescent="0.75">
      <c r="A33" s="102"/>
      <c r="B33" s="93">
        <v>6.5000000000000002E-2</v>
      </c>
      <c r="C33" s="85" t="s">
        <v>277</v>
      </c>
      <c r="D33" s="94">
        <v>200000</v>
      </c>
      <c r="E33" s="95">
        <v>6.5000000000000002E-2</v>
      </c>
      <c r="F33" s="85" t="s">
        <v>277</v>
      </c>
      <c r="G33" s="94">
        <v>400000</v>
      </c>
      <c r="H33" s="99"/>
      <c r="I33" s="100"/>
      <c r="J33" s="99"/>
      <c r="K33" s="100"/>
      <c r="L33" s="100"/>
      <c r="R33" s="92"/>
      <c r="S33" s="92"/>
      <c r="T33" s="92"/>
    </row>
    <row r="34" spans="1:20" s="85" customFormat="1" ht="15.6" x14ac:dyDescent="0.75">
      <c r="A34" s="102"/>
      <c r="B34" s="93">
        <v>6.9000000000000006E-2</v>
      </c>
      <c r="C34" s="85" t="s">
        <v>277</v>
      </c>
      <c r="D34" s="94">
        <v>250000</v>
      </c>
      <c r="E34" s="95">
        <v>6.9000000000000006E-2</v>
      </c>
      <c r="F34" s="85" t="s">
        <v>277</v>
      </c>
      <c r="G34" s="94">
        <v>500000</v>
      </c>
      <c r="H34" s="99"/>
      <c r="I34" s="100"/>
      <c r="J34" s="99"/>
      <c r="K34" s="100"/>
      <c r="L34" s="100"/>
      <c r="R34" s="92"/>
      <c r="S34" s="92"/>
      <c r="T34" s="92"/>
    </row>
    <row r="35" spans="1:20" s="85" customFormat="1" ht="15.6" x14ac:dyDescent="0.75">
      <c r="A35" s="102"/>
      <c r="B35" s="93">
        <v>6.9900000000000004E-2</v>
      </c>
      <c r="C35" s="85" t="s">
        <v>277</v>
      </c>
      <c r="D35" s="94">
        <v>500000</v>
      </c>
      <c r="E35" s="95">
        <v>6.9900000000000004E-2</v>
      </c>
      <c r="F35" s="85" t="s">
        <v>277</v>
      </c>
      <c r="G35" s="94">
        <v>1000000</v>
      </c>
      <c r="H35" s="99"/>
      <c r="I35" s="100"/>
      <c r="J35" s="99"/>
      <c r="K35" s="100"/>
      <c r="L35" s="100"/>
      <c r="R35" s="92"/>
      <c r="S35" s="92"/>
      <c r="T35" s="92"/>
    </row>
    <row r="36" spans="1:20" s="85" customFormat="1" ht="15.6" x14ac:dyDescent="0.75">
      <c r="A36" s="102"/>
      <c r="B36" s="103"/>
      <c r="D36" s="92"/>
      <c r="E36" s="104"/>
      <c r="G36" s="92"/>
      <c r="H36" s="99"/>
      <c r="I36" s="100"/>
      <c r="J36" s="99"/>
      <c r="K36" s="100"/>
      <c r="L36" s="100"/>
      <c r="R36" s="92"/>
      <c r="S36" s="92"/>
      <c r="T36" s="92"/>
    </row>
    <row r="37" spans="1:20" s="85" customFormat="1" ht="15.6" x14ac:dyDescent="0.75">
      <c r="A37" s="92" t="s">
        <v>296</v>
      </c>
      <c r="B37" s="93">
        <v>2.1999999999999999E-2</v>
      </c>
      <c r="C37" s="85" t="s">
        <v>277</v>
      </c>
      <c r="D37" s="94">
        <v>2000</v>
      </c>
      <c r="E37" s="95">
        <v>2.1999999999999999E-2</v>
      </c>
      <c r="F37" s="85" t="s">
        <v>277</v>
      </c>
      <c r="G37" s="94">
        <v>2000</v>
      </c>
      <c r="H37" s="96">
        <v>3250</v>
      </c>
      <c r="I37" s="94">
        <v>6500</v>
      </c>
      <c r="J37" s="100" t="s">
        <v>297</v>
      </c>
      <c r="K37" s="100" t="s">
        <v>298</v>
      </c>
      <c r="L37" s="100" t="s">
        <v>297</v>
      </c>
      <c r="M37" s="97"/>
      <c r="R37" s="92"/>
      <c r="S37" s="92"/>
      <c r="T37" s="92"/>
    </row>
    <row r="38" spans="1:20" s="85" customFormat="1" ht="15.6" x14ac:dyDescent="0.75">
      <c r="A38" s="92" t="s">
        <v>299</v>
      </c>
      <c r="B38" s="93">
        <v>3.9E-2</v>
      </c>
      <c r="C38" s="85" t="s">
        <v>277</v>
      </c>
      <c r="D38" s="94">
        <v>5000</v>
      </c>
      <c r="E38" s="95">
        <v>3.9E-2</v>
      </c>
      <c r="F38" s="85" t="s">
        <v>277</v>
      </c>
      <c r="G38" s="94">
        <v>5000</v>
      </c>
      <c r="H38" s="99"/>
      <c r="I38" s="100"/>
      <c r="J38" s="99"/>
      <c r="K38" s="100"/>
      <c r="L38" s="100"/>
      <c r="R38" s="92"/>
      <c r="S38" s="92"/>
      <c r="T38" s="92"/>
    </row>
    <row r="39" spans="1:20" s="85" customFormat="1" ht="15.6" x14ac:dyDescent="0.75">
      <c r="A39" s="102"/>
      <c r="B39" s="93">
        <v>4.8000000000000001E-2</v>
      </c>
      <c r="C39" s="85" t="s">
        <v>277</v>
      </c>
      <c r="D39" s="94">
        <v>10000</v>
      </c>
      <c r="E39" s="95">
        <v>4.8000000000000001E-2</v>
      </c>
      <c r="F39" s="85" t="s">
        <v>277</v>
      </c>
      <c r="G39" s="94">
        <v>10000</v>
      </c>
      <c r="H39" s="99"/>
      <c r="I39" s="100"/>
      <c r="J39" s="99"/>
      <c r="K39" s="100"/>
      <c r="L39" s="100"/>
      <c r="R39" s="92"/>
      <c r="S39" s="92"/>
      <c r="T39" s="92"/>
    </row>
    <row r="40" spans="1:20" s="85" customFormat="1" ht="15.6" x14ac:dyDescent="0.75">
      <c r="A40" s="102"/>
      <c r="B40" s="93">
        <v>5.1999999999999998E-2</v>
      </c>
      <c r="C40" s="85" t="s">
        <v>277</v>
      </c>
      <c r="D40" s="94">
        <v>20000</v>
      </c>
      <c r="E40" s="95">
        <v>5.1999999999999998E-2</v>
      </c>
      <c r="F40" s="85" t="s">
        <v>277</v>
      </c>
      <c r="G40" s="94">
        <v>20000</v>
      </c>
      <c r="H40" s="99"/>
      <c r="I40" s="100"/>
      <c r="J40" s="99"/>
      <c r="K40" s="100"/>
      <c r="L40" s="100"/>
      <c r="R40" s="92"/>
      <c r="S40" s="92"/>
      <c r="T40" s="92"/>
    </row>
    <row r="41" spans="1:20" s="85" customFormat="1" ht="15.6" x14ac:dyDescent="0.75">
      <c r="A41" s="102"/>
      <c r="B41" s="93">
        <v>5.5500000000000001E-2</v>
      </c>
      <c r="C41" s="85" t="s">
        <v>277</v>
      </c>
      <c r="D41" s="94">
        <v>25000</v>
      </c>
      <c r="E41" s="95">
        <v>5.5500000000000001E-2</v>
      </c>
      <c r="F41" s="85" t="s">
        <v>277</v>
      </c>
      <c r="G41" s="94">
        <v>25000</v>
      </c>
      <c r="H41" s="99"/>
      <c r="I41" s="100"/>
      <c r="J41" s="99"/>
      <c r="K41" s="100"/>
      <c r="L41" s="100"/>
      <c r="R41" s="92"/>
      <c r="S41" s="92"/>
      <c r="T41" s="92"/>
    </row>
    <row r="42" spans="1:20" s="85" customFormat="1" ht="15.6" x14ac:dyDescent="0.75">
      <c r="A42" s="102"/>
      <c r="B42" s="93">
        <v>6.6000000000000003E-2</v>
      </c>
      <c r="C42" s="85" t="s">
        <v>277</v>
      </c>
      <c r="D42" s="94">
        <v>60000</v>
      </c>
      <c r="E42" s="95">
        <v>6.6000000000000003E-2</v>
      </c>
      <c r="F42" s="85" t="s">
        <v>277</v>
      </c>
      <c r="G42" s="94">
        <v>60000</v>
      </c>
      <c r="H42" s="99"/>
      <c r="I42" s="100"/>
      <c r="J42" s="99"/>
      <c r="K42" s="100"/>
      <c r="L42" s="100"/>
      <c r="R42" s="92"/>
      <c r="S42" s="92"/>
      <c r="T42" s="92"/>
    </row>
    <row r="43" spans="1:20" s="85" customFormat="1" ht="15.6" x14ac:dyDescent="0.75">
      <c r="A43" s="102"/>
      <c r="B43" s="103"/>
      <c r="D43" s="92"/>
      <c r="E43" s="104"/>
      <c r="G43" s="92"/>
      <c r="H43" s="99"/>
      <c r="I43" s="100"/>
      <c r="J43" s="99"/>
      <c r="K43" s="100"/>
      <c r="L43" s="100"/>
      <c r="R43" s="92"/>
      <c r="S43" s="92"/>
      <c r="T43" s="92"/>
    </row>
    <row r="44" spans="1:20" s="85" customFormat="1" ht="15.6" x14ac:dyDescent="0.75">
      <c r="A44" s="92" t="s">
        <v>300</v>
      </c>
      <c r="B44" s="280" t="s">
        <v>280</v>
      </c>
      <c r="C44" s="281"/>
      <c r="D44" s="281"/>
      <c r="E44" s="280" t="s">
        <v>280</v>
      </c>
      <c r="F44" s="281"/>
      <c r="G44" s="281"/>
      <c r="H44" s="99" t="s">
        <v>281</v>
      </c>
      <c r="I44" s="100" t="s">
        <v>281</v>
      </c>
      <c r="J44" s="99" t="s">
        <v>281</v>
      </c>
      <c r="K44" s="100" t="s">
        <v>281</v>
      </c>
      <c r="L44" s="100" t="s">
        <v>281</v>
      </c>
      <c r="M44" s="97"/>
      <c r="R44" s="92"/>
      <c r="S44" s="92"/>
      <c r="T44" s="92"/>
    </row>
    <row r="45" spans="1:20" s="85" customFormat="1" ht="15.6" x14ac:dyDescent="0.75">
      <c r="A45" s="102"/>
      <c r="B45" s="103"/>
      <c r="D45" s="92"/>
      <c r="E45" s="104"/>
      <c r="G45" s="92"/>
      <c r="H45" s="99"/>
      <c r="I45" s="100"/>
      <c r="J45" s="99"/>
      <c r="K45" s="100"/>
      <c r="L45" s="100"/>
      <c r="R45" s="92"/>
      <c r="S45" s="92"/>
      <c r="T45" s="92"/>
    </row>
    <row r="46" spans="1:20" s="85" customFormat="1" ht="15.6" x14ac:dyDescent="0.75">
      <c r="A46" s="92" t="s">
        <v>301</v>
      </c>
      <c r="B46" s="93">
        <v>5.4899999999999997E-2</v>
      </c>
      <c r="C46" s="85" t="s">
        <v>277</v>
      </c>
      <c r="D46" s="94">
        <v>0</v>
      </c>
      <c r="E46" s="95">
        <v>5.4899999999999997E-2</v>
      </c>
      <c r="F46" s="85" t="s">
        <v>277</v>
      </c>
      <c r="G46" s="94">
        <v>0</v>
      </c>
      <c r="H46" s="98">
        <v>12000</v>
      </c>
      <c r="I46" s="101">
        <v>24000</v>
      </c>
      <c r="J46" s="99" t="s">
        <v>281</v>
      </c>
      <c r="K46" s="100" t="s">
        <v>281</v>
      </c>
      <c r="L46" s="94">
        <v>3000</v>
      </c>
      <c r="M46" s="97"/>
      <c r="P46" s="85" t="s">
        <v>302</v>
      </c>
      <c r="R46" s="92"/>
      <c r="S46" s="92"/>
      <c r="T46" s="92"/>
    </row>
    <row r="47" spans="1:20" s="85" customFormat="1" ht="15.6" x14ac:dyDescent="0.75">
      <c r="A47" s="102"/>
      <c r="B47" s="103"/>
      <c r="D47" s="92"/>
      <c r="E47" s="104"/>
      <c r="G47" s="92"/>
      <c r="H47" s="99"/>
      <c r="I47" s="100"/>
      <c r="J47" s="99"/>
      <c r="K47" s="100"/>
      <c r="L47" s="100"/>
      <c r="R47" s="92"/>
      <c r="S47" s="92"/>
      <c r="T47" s="92"/>
    </row>
    <row r="48" spans="1:20" s="85" customFormat="1" ht="15.6" x14ac:dyDescent="0.75">
      <c r="A48" s="92" t="s">
        <v>303</v>
      </c>
      <c r="B48" s="93">
        <v>1.4E-2</v>
      </c>
      <c r="C48" s="85" t="s">
        <v>277</v>
      </c>
      <c r="D48" s="94">
        <v>0</v>
      </c>
      <c r="E48" s="95">
        <v>1.4E-2</v>
      </c>
      <c r="F48" s="85" t="s">
        <v>277</v>
      </c>
      <c r="G48" s="94">
        <v>0</v>
      </c>
      <c r="H48" s="96">
        <v>2200</v>
      </c>
      <c r="I48" s="94">
        <v>4400</v>
      </c>
      <c r="J48" s="96">
        <v>1144</v>
      </c>
      <c r="K48" s="94">
        <v>2288</v>
      </c>
      <c r="L48" s="94">
        <v>1144</v>
      </c>
      <c r="M48" s="97"/>
      <c r="R48" s="92"/>
      <c r="S48" s="92"/>
      <c r="T48" s="92"/>
    </row>
    <row r="49" spans="1:20" s="85" customFormat="1" ht="15.6" x14ac:dyDescent="0.75">
      <c r="A49" s="92" t="s">
        <v>304</v>
      </c>
      <c r="B49" s="93">
        <v>3.2000000000000001E-2</v>
      </c>
      <c r="C49" s="85" t="s">
        <v>277</v>
      </c>
      <c r="D49" s="94">
        <v>2400</v>
      </c>
      <c r="E49" s="95">
        <v>3.2000000000000001E-2</v>
      </c>
      <c r="F49" s="85" t="s">
        <v>277</v>
      </c>
      <c r="G49" s="94">
        <v>4800</v>
      </c>
      <c r="H49" s="99"/>
      <c r="I49" s="100"/>
      <c r="J49" s="99"/>
      <c r="K49" s="100"/>
      <c r="L49" s="100"/>
      <c r="R49" s="92"/>
      <c r="S49" s="92"/>
      <c r="T49" s="92"/>
    </row>
    <row r="50" spans="1:20" s="85" customFormat="1" ht="15.6" x14ac:dyDescent="0.75">
      <c r="A50" s="102"/>
      <c r="B50" s="93">
        <v>5.5E-2</v>
      </c>
      <c r="C50" s="85" t="s">
        <v>277</v>
      </c>
      <c r="D50" s="94">
        <v>4800</v>
      </c>
      <c r="E50" s="95">
        <v>5.5E-2</v>
      </c>
      <c r="F50" s="85" t="s">
        <v>277</v>
      </c>
      <c r="G50" s="94">
        <v>9600</v>
      </c>
      <c r="H50" s="99"/>
      <c r="I50" s="100"/>
      <c r="J50" s="99"/>
      <c r="K50" s="100"/>
      <c r="L50" s="100"/>
      <c r="R50" s="92"/>
      <c r="S50" s="92"/>
      <c r="T50" s="92"/>
    </row>
    <row r="51" spans="1:20" s="85" customFormat="1" ht="15.6" x14ac:dyDescent="0.75">
      <c r="A51" s="102"/>
      <c r="B51" s="93">
        <v>6.4000000000000001E-2</v>
      </c>
      <c r="C51" s="85" t="s">
        <v>277</v>
      </c>
      <c r="D51" s="94">
        <v>9600</v>
      </c>
      <c r="E51" s="95">
        <v>6.4000000000000001E-2</v>
      </c>
      <c r="F51" s="85" t="s">
        <v>277</v>
      </c>
      <c r="G51" s="94">
        <v>19200</v>
      </c>
      <c r="H51" s="99"/>
      <c r="I51" s="100"/>
      <c r="J51" s="99"/>
      <c r="K51" s="100"/>
      <c r="L51" s="100"/>
      <c r="R51" s="92"/>
      <c r="S51" s="92"/>
      <c r="T51" s="92"/>
    </row>
    <row r="52" spans="1:20" s="85" customFormat="1" ht="15.6" x14ac:dyDescent="0.75">
      <c r="A52" s="102"/>
      <c r="B52" s="93">
        <v>6.8000000000000005E-2</v>
      </c>
      <c r="C52" s="85" t="s">
        <v>277</v>
      </c>
      <c r="D52" s="94">
        <v>14400</v>
      </c>
      <c r="E52" s="95">
        <v>6.8000000000000005E-2</v>
      </c>
      <c r="F52" s="85" t="s">
        <v>277</v>
      </c>
      <c r="G52" s="94">
        <v>28800</v>
      </c>
      <c r="H52" s="99"/>
      <c r="I52" s="100"/>
      <c r="J52" s="99"/>
      <c r="K52" s="100"/>
      <c r="L52" s="100"/>
      <c r="R52" s="92"/>
      <c r="S52" s="92"/>
      <c r="T52" s="92"/>
    </row>
    <row r="53" spans="1:20" s="85" customFormat="1" ht="15.6" x14ac:dyDescent="0.75">
      <c r="A53" s="102"/>
      <c r="B53" s="93">
        <v>7.1999999999999995E-2</v>
      </c>
      <c r="C53" s="85" t="s">
        <v>277</v>
      </c>
      <c r="D53" s="94">
        <v>19200</v>
      </c>
      <c r="E53" s="95">
        <v>7.1999999999999995E-2</v>
      </c>
      <c r="F53" s="85" t="s">
        <v>277</v>
      </c>
      <c r="G53" s="94">
        <v>38400</v>
      </c>
      <c r="H53" s="99"/>
      <c r="I53" s="100"/>
      <c r="J53" s="99"/>
      <c r="K53" s="100"/>
      <c r="L53" s="100"/>
      <c r="R53" s="92"/>
      <c r="S53" s="92"/>
      <c r="T53" s="92"/>
    </row>
    <row r="54" spans="1:20" s="85" customFormat="1" ht="15.6" x14ac:dyDescent="0.75">
      <c r="A54" s="102"/>
      <c r="B54" s="93">
        <v>7.5999999999999998E-2</v>
      </c>
      <c r="C54" s="85" t="s">
        <v>277</v>
      </c>
      <c r="D54" s="94">
        <v>24000</v>
      </c>
      <c r="E54" s="95">
        <v>7.5999999999999998E-2</v>
      </c>
      <c r="F54" s="85" t="s">
        <v>277</v>
      </c>
      <c r="G54" s="94">
        <v>48000</v>
      </c>
      <c r="H54" s="99"/>
      <c r="I54" s="100"/>
      <c r="J54" s="99"/>
      <c r="K54" s="100"/>
      <c r="L54" s="100"/>
      <c r="R54" s="92"/>
      <c r="S54" s="92"/>
      <c r="T54" s="92"/>
    </row>
    <row r="55" spans="1:20" s="85" customFormat="1" ht="15.6" x14ac:dyDescent="0.75">
      <c r="A55" s="102"/>
      <c r="B55" s="93">
        <v>7.9000000000000001E-2</v>
      </c>
      <c r="C55" s="85" t="s">
        <v>277</v>
      </c>
      <c r="D55" s="94">
        <v>36000</v>
      </c>
      <c r="E55" s="95">
        <v>7.9000000000000001E-2</v>
      </c>
      <c r="F55" s="85" t="s">
        <v>277</v>
      </c>
      <c r="G55" s="94">
        <v>72000</v>
      </c>
      <c r="H55" s="99"/>
      <c r="I55" s="100"/>
      <c r="J55" s="99"/>
      <c r="K55" s="100"/>
      <c r="L55" s="100"/>
      <c r="R55" s="92"/>
      <c r="S55" s="92"/>
      <c r="T55" s="92"/>
    </row>
    <row r="56" spans="1:20" s="85" customFormat="1" ht="15.6" x14ac:dyDescent="0.75">
      <c r="A56" s="102"/>
      <c r="B56" s="93">
        <v>8.2500000000000004E-2</v>
      </c>
      <c r="C56" s="85" t="s">
        <v>277</v>
      </c>
      <c r="D56" s="94">
        <v>48000</v>
      </c>
      <c r="E56" s="95">
        <v>8.2500000000000004E-2</v>
      </c>
      <c r="F56" s="85" t="s">
        <v>277</v>
      </c>
      <c r="G56" s="94">
        <v>96000</v>
      </c>
      <c r="H56" s="99"/>
      <c r="I56" s="100"/>
      <c r="J56" s="99"/>
      <c r="K56" s="100"/>
      <c r="L56" s="100"/>
      <c r="R56" s="92"/>
      <c r="S56" s="92"/>
      <c r="T56" s="92"/>
    </row>
    <row r="57" spans="1:20" s="85" customFormat="1" ht="15.6" x14ac:dyDescent="0.75">
      <c r="A57" s="102"/>
      <c r="B57" s="93">
        <v>0.09</v>
      </c>
      <c r="C57" s="85" t="s">
        <v>277</v>
      </c>
      <c r="D57" s="94">
        <v>150000</v>
      </c>
      <c r="E57" s="95">
        <v>0.09</v>
      </c>
      <c r="F57" s="85" t="s">
        <v>277</v>
      </c>
      <c r="G57" s="94">
        <v>300000</v>
      </c>
      <c r="H57" s="99"/>
      <c r="I57" s="100"/>
      <c r="J57" s="99"/>
      <c r="K57" s="100"/>
      <c r="L57" s="100"/>
      <c r="R57" s="92"/>
      <c r="S57" s="92"/>
      <c r="T57" s="92"/>
    </row>
    <row r="58" spans="1:20" s="85" customFormat="1" ht="15.6" x14ac:dyDescent="0.75">
      <c r="A58" s="102"/>
      <c r="B58" s="93">
        <v>0.1</v>
      </c>
      <c r="C58" s="85" t="s">
        <v>277</v>
      </c>
      <c r="D58" s="94">
        <v>175000</v>
      </c>
      <c r="E58" s="95">
        <v>0.1</v>
      </c>
      <c r="F58" s="85" t="s">
        <v>277</v>
      </c>
      <c r="G58" s="94">
        <v>350000</v>
      </c>
      <c r="H58" s="99"/>
      <c r="I58" s="100"/>
      <c r="J58" s="99"/>
      <c r="K58" s="100"/>
      <c r="L58" s="100"/>
      <c r="R58" s="92"/>
      <c r="S58" s="92"/>
      <c r="T58" s="92"/>
    </row>
    <row r="59" spans="1:20" s="85" customFormat="1" ht="15.6" x14ac:dyDescent="0.75">
      <c r="A59" s="102"/>
      <c r="B59" s="93">
        <v>0.11</v>
      </c>
      <c r="C59" s="85" t="s">
        <v>277</v>
      </c>
      <c r="D59" s="94">
        <v>200000</v>
      </c>
      <c r="E59" s="95">
        <v>0.11</v>
      </c>
      <c r="F59" s="85" t="s">
        <v>277</v>
      </c>
      <c r="G59" s="94">
        <v>400000</v>
      </c>
      <c r="H59" s="99"/>
      <c r="I59" s="100"/>
      <c r="J59" s="99"/>
      <c r="K59" s="100"/>
      <c r="L59" s="100"/>
      <c r="R59" s="92"/>
      <c r="S59" s="92"/>
      <c r="T59" s="92"/>
    </row>
    <row r="60" spans="1:20" s="85" customFormat="1" ht="15.6" x14ac:dyDescent="0.75">
      <c r="A60" s="102"/>
      <c r="B60" s="103"/>
      <c r="D60" s="92"/>
      <c r="E60" s="104"/>
      <c r="G60" s="92"/>
      <c r="H60" s="99"/>
      <c r="I60" s="100"/>
      <c r="J60" s="99"/>
      <c r="K60" s="100"/>
      <c r="L60" s="100"/>
      <c r="R60" s="92"/>
      <c r="S60" s="92"/>
      <c r="T60" s="92"/>
    </row>
    <row r="61" spans="1:20" s="85" customFormat="1" ht="15.6" x14ac:dyDescent="0.75">
      <c r="A61" s="92" t="s">
        <v>305</v>
      </c>
      <c r="B61" s="113">
        <v>5.8000000000000003E-2</v>
      </c>
      <c r="C61" s="92" t="s">
        <v>277</v>
      </c>
      <c r="D61" s="94">
        <v>4489</v>
      </c>
      <c r="E61" s="113">
        <v>5.8000000000000003E-2</v>
      </c>
      <c r="F61" s="92" t="s">
        <v>277</v>
      </c>
      <c r="G61" s="94">
        <v>8978</v>
      </c>
      <c r="H61" s="96">
        <v>14600</v>
      </c>
      <c r="I61" s="94">
        <v>29200</v>
      </c>
      <c r="J61" s="99" t="s">
        <v>281</v>
      </c>
      <c r="K61" s="100" t="s">
        <v>281</v>
      </c>
      <c r="L61" s="100" t="s">
        <v>281</v>
      </c>
      <c r="M61" s="97"/>
      <c r="P61" s="85" t="s">
        <v>306</v>
      </c>
      <c r="R61" s="92"/>
      <c r="S61" s="92"/>
      <c r="T61" s="92"/>
    </row>
    <row r="62" spans="1:20" s="85" customFormat="1" ht="15.6" x14ac:dyDescent="0.75">
      <c r="A62" s="102"/>
      <c r="B62" s="105"/>
      <c r="D62" s="92"/>
      <c r="E62" s="104"/>
      <c r="G62" s="92"/>
      <c r="H62" s="99"/>
      <c r="I62" s="100"/>
      <c r="J62" s="99"/>
      <c r="K62" s="100"/>
      <c r="L62" s="100"/>
      <c r="R62" s="92"/>
      <c r="S62" s="92"/>
      <c r="T62" s="92"/>
    </row>
    <row r="63" spans="1:20" s="85" customFormat="1" ht="15.6" x14ac:dyDescent="0.75">
      <c r="A63" s="92" t="s">
        <v>307</v>
      </c>
      <c r="B63" s="93">
        <v>4.9500000000000002E-2</v>
      </c>
      <c r="C63" s="85" t="s">
        <v>277</v>
      </c>
      <c r="D63" s="94">
        <v>0</v>
      </c>
      <c r="E63" s="95">
        <v>4.9500000000000002E-2</v>
      </c>
      <c r="F63" s="85" t="s">
        <v>277</v>
      </c>
      <c r="G63" s="94">
        <v>0</v>
      </c>
      <c r="H63" s="99" t="s">
        <v>281</v>
      </c>
      <c r="I63" s="100" t="s">
        <v>281</v>
      </c>
      <c r="J63" s="96">
        <v>2775</v>
      </c>
      <c r="K63" s="94">
        <v>5550</v>
      </c>
      <c r="L63" s="94">
        <v>2775</v>
      </c>
      <c r="M63" s="97"/>
      <c r="N63" s="92"/>
      <c r="O63" s="92"/>
      <c r="P63" s="92"/>
      <c r="Q63" s="92"/>
      <c r="R63" s="92"/>
      <c r="S63" s="92"/>
      <c r="T63" s="92"/>
    </row>
    <row r="64" spans="1:20" s="85" customFormat="1" ht="15.6" x14ac:dyDescent="0.75">
      <c r="A64" s="102"/>
      <c r="B64" s="103"/>
      <c r="D64" s="92"/>
      <c r="E64" s="104"/>
      <c r="G64" s="92"/>
      <c r="H64" s="99"/>
      <c r="I64" s="100"/>
      <c r="J64" s="99"/>
      <c r="K64" s="100"/>
      <c r="L64" s="100"/>
      <c r="R64" s="92"/>
      <c r="S64" s="92"/>
      <c r="T64" s="92"/>
    </row>
    <row r="65" spans="1:20" s="85" customFormat="1" ht="15.6" x14ac:dyDescent="0.75">
      <c r="A65" s="92" t="s">
        <v>308</v>
      </c>
      <c r="B65" s="93">
        <v>3.0499999999999999E-2</v>
      </c>
      <c r="C65" s="85" t="s">
        <v>277</v>
      </c>
      <c r="D65" s="94">
        <v>0</v>
      </c>
      <c r="E65" s="95">
        <v>3.0499999999999999E-2</v>
      </c>
      <c r="F65" s="85" t="s">
        <v>277</v>
      </c>
      <c r="G65" s="94">
        <v>0</v>
      </c>
      <c r="H65" s="99" t="s">
        <v>281</v>
      </c>
      <c r="I65" s="100" t="s">
        <v>281</v>
      </c>
      <c r="J65" s="96">
        <v>1000</v>
      </c>
      <c r="K65" s="94">
        <v>2000</v>
      </c>
      <c r="L65" s="94">
        <v>1000</v>
      </c>
      <c r="M65" s="97"/>
      <c r="N65" s="114"/>
      <c r="R65" s="92"/>
      <c r="S65" s="92"/>
      <c r="T65" s="92"/>
    </row>
    <row r="66" spans="1:20" s="85" customFormat="1" ht="15.6" x14ac:dyDescent="0.75">
      <c r="A66" s="102"/>
      <c r="B66" s="103"/>
      <c r="D66" s="92"/>
      <c r="E66" s="104"/>
      <c r="G66" s="92"/>
      <c r="H66" s="99"/>
      <c r="I66" s="100"/>
      <c r="J66" s="99"/>
      <c r="K66" s="100"/>
      <c r="L66" s="100"/>
      <c r="R66" s="92"/>
      <c r="S66" s="92"/>
      <c r="T66" s="92"/>
    </row>
    <row r="67" spans="1:20" s="85" customFormat="1" ht="15.6" x14ac:dyDescent="0.75">
      <c r="A67" s="92" t="s">
        <v>309</v>
      </c>
      <c r="B67" s="93">
        <v>4.3999999999999997E-2</v>
      </c>
      <c r="C67" s="85" t="s">
        <v>277</v>
      </c>
      <c r="D67" s="94">
        <v>0</v>
      </c>
      <c r="E67" s="93">
        <v>4.3999999999999997E-2</v>
      </c>
      <c r="F67" s="85" t="s">
        <v>277</v>
      </c>
      <c r="G67" s="94">
        <v>0</v>
      </c>
      <c r="H67" s="99" t="s">
        <v>281</v>
      </c>
      <c r="I67" s="100" t="s">
        <v>281</v>
      </c>
      <c r="J67" s="100" t="s">
        <v>310</v>
      </c>
      <c r="K67" s="100" t="s">
        <v>311</v>
      </c>
      <c r="L67" s="100" t="s">
        <v>310</v>
      </c>
      <c r="M67" s="97"/>
      <c r="N67" s="106"/>
      <c r="P67" s="85" t="s">
        <v>312</v>
      </c>
      <c r="R67" s="92"/>
      <c r="S67" s="92"/>
      <c r="T67" s="92"/>
    </row>
    <row r="68" spans="1:20" s="85" customFormat="1" ht="15.6" x14ac:dyDescent="0.75">
      <c r="A68" s="92" t="s">
        <v>313</v>
      </c>
      <c r="B68" s="93">
        <v>4.82E-2</v>
      </c>
      <c r="C68" s="85" t="s">
        <v>277</v>
      </c>
      <c r="D68" s="94">
        <v>6210</v>
      </c>
      <c r="E68" s="93">
        <v>4.82E-2</v>
      </c>
      <c r="F68" s="85" t="s">
        <v>277</v>
      </c>
      <c r="G68" s="94">
        <v>12420</v>
      </c>
      <c r="H68" s="99"/>
      <c r="I68" s="100"/>
      <c r="J68" s="99"/>
      <c r="K68" s="100"/>
      <c r="L68" s="100"/>
      <c r="R68" s="92"/>
      <c r="S68" s="92"/>
      <c r="T68" s="92"/>
    </row>
    <row r="69" spans="1:20" s="85" customFormat="1" ht="15.6" x14ac:dyDescent="0.75">
      <c r="A69" s="102"/>
      <c r="B69" s="93">
        <v>5.7000000000000002E-2</v>
      </c>
      <c r="C69" s="85" t="s">
        <v>277</v>
      </c>
      <c r="D69" s="94">
        <v>31050</v>
      </c>
      <c r="E69" s="93">
        <v>5.7000000000000002E-2</v>
      </c>
      <c r="F69" s="85" t="s">
        <v>277</v>
      </c>
      <c r="G69" s="94">
        <v>62100</v>
      </c>
      <c r="H69" s="99"/>
      <c r="I69" s="100"/>
      <c r="J69" s="99"/>
      <c r="K69" s="100"/>
      <c r="L69" s="100"/>
      <c r="R69" s="92"/>
      <c r="S69" s="92"/>
      <c r="T69" s="92"/>
    </row>
    <row r="70" spans="1:20" s="85" customFormat="1" ht="15.6" x14ac:dyDescent="0.75">
      <c r="A70" s="102"/>
      <c r="B70" s="103"/>
      <c r="D70" s="92"/>
      <c r="E70" s="104"/>
      <c r="G70" s="92"/>
      <c r="H70" s="99"/>
      <c r="I70" s="100"/>
      <c r="J70" s="99"/>
      <c r="K70" s="100"/>
      <c r="L70" s="100"/>
      <c r="R70" s="92"/>
      <c r="S70" s="92"/>
      <c r="T70" s="92"/>
    </row>
    <row r="71" spans="1:20" s="85" customFormat="1" ht="15.6" x14ac:dyDescent="0.75">
      <c r="A71" s="92" t="s">
        <v>314</v>
      </c>
      <c r="B71" s="93">
        <v>3.1E-2</v>
      </c>
      <c r="C71" s="85" t="s">
        <v>277</v>
      </c>
      <c r="D71" s="94">
        <v>0</v>
      </c>
      <c r="E71" s="95">
        <v>3.1E-2</v>
      </c>
      <c r="F71" s="85" t="s">
        <v>277</v>
      </c>
      <c r="G71" s="94">
        <v>0</v>
      </c>
      <c r="H71" s="96">
        <v>3500</v>
      </c>
      <c r="I71" s="94">
        <v>8000</v>
      </c>
      <c r="J71" s="96">
        <v>2250</v>
      </c>
      <c r="K71" s="94">
        <v>4500</v>
      </c>
      <c r="L71" s="94">
        <v>2250</v>
      </c>
      <c r="M71" s="97"/>
      <c r="R71" s="92"/>
      <c r="S71" s="92"/>
      <c r="T71" s="92"/>
    </row>
    <row r="72" spans="1:20" s="85" customFormat="1" ht="15.6" x14ac:dyDescent="0.75">
      <c r="A72" s="92" t="s">
        <v>315</v>
      </c>
      <c r="B72" s="93">
        <v>5.2499999999999998E-2</v>
      </c>
      <c r="C72" s="85" t="s">
        <v>277</v>
      </c>
      <c r="D72" s="94">
        <v>15000</v>
      </c>
      <c r="E72" s="95">
        <v>5.2499999999999998E-2</v>
      </c>
      <c r="F72" s="85" t="s">
        <v>277</v>
      </c>
      <c r="G72" s="94">
        <v>30000</v>
      </c>
      <c r="H72" s="99"/>
      <c r="I72" s="100"/>
      <c r="J72" s="99"/>
      <c r="K72" s="100"/>
      <c r="L72" s="100"/>
      <c r="R72" s="92"/>
      <c r="S72" s="92"/>
      <c r="T72" s="92"/>
    </row>
    <row r="73" spans="1:20" s="85" customFormat="1" ht="15.6" x14ac:dyDescent="0.75">
      <c r="A73" s="102"/>
      <c r="B73" s="93">
        <v>5.7000000000000002E-2</v>
      </c>
      <c r="C73" s="85" t="s">
        <v>277</v>
      </c>
      <c r="D73" s="94">
        <v>30000</v>
      </c>
      <c r="E73" s="95">
        <v>5.7000000000000002E-2</v>
      </c>
      <c r="F73" s="85" t="s">
        <v>277</v>
      </c>
      <c r="G73" s="94">
        <v>60000</v>
      </c>
      <c r="H73" s="99"/>
      <c r="I73" s="100"/>
      <c r="J73" s="99"/>
      <c r="K73" s="100"/>
      <c r="L73" s="100"/>
      <c r="R73" s="92"/>
      <c r="S73" s="92"/>
      <c r="T73" s="92"/>
    </row>
    <row r="74" spans="1:20" s="85" customFormat="1" ht="15.6" x14ac:dyDescent="0.75">
      <c r="A74" s="102"/>
      <c r="B74" s="103"/>
      <c r="D74" s="92"/>
      <c r="E74" s="104"/>
      <c r="G74" s="92"/>
      <c r="H74" s="99"/>
      <c r="I74" s="100"/>
      <c r="J74" s="99"/>
      <c r="K74" s="100"/>
      <c r="L74" s="100"/>
      <c r="M74" s="97"/>
      <c r="R74" s="92"/>
      <c r="S74" s="92"/>
      <c r="T74" s="92"/>
    </row>
    <row r="75" spans="1:20" s="85" customFormat="1" ht="15.6" x14ac:dyDescent="0.75">
      <c r="A75" s="92" t="s">
        <v>316</v>
      </c>
      <c r="B75" s="93">
        <v>0.04</v>
      </c>
      <c r="C75" s="85" t="s">
        <v>277</v>
      </c>
      <c r="D75" s="94">
        <v>0</v>
      </c>
      <c r="E75" s="95">
        <v>0.04</v>
      </c>
      <c r="F75" s="85" t="s">
        <v>277</v>
      </c>
      <c r="G75" s="94">
        <v>0</v>
      </c>
      <c r="H75" s="96">
        <v>3160</v>
      </c>
      <c r="I75" s="94">
        <v>6320</v>
      </c>
      <c r="J75" s="99" t="s">
        <v>281</v>
      </c>
      <c r="K75" s="100" t="s">
        <v>281</v>
      </c>
      <c r="L75" s="100" t="s">
        <v>281</v>
      </c>
      <c r="M75" s="97"/>
      <c r="R75" s="92"/>
      <c r="S75" s="92"/>
      <c r="T75" s="92"/>
    </row>
    <row r="76" spans="1:20" s="85" customFormat="1" ht="15.6" x14ac:dyDescent="0.75">
      <c r="A76" s="92" t="s">
        <v>317</v>
      </c>
      <c r="B76" s="103"/>
      <c r="D76" s="92"/>
      <c r="E76" s="104"/>
      <c r="G76" s="92"/>
      <c r="H76" s="99"/>
      <c r="I76" s="100"/>
      <c r="J76" s="99"/>
      <c r="K76" s="100"/>
      <c r="L76" s="100"/>
      <c r="R76" s="92"/>
      <c r="S76" s="92"/>
      <c r="T76" s="92"/>
    </row>
    <row r="77" spans="1:20" s="85" customFormat="1" ht="15.6" x14ac:dyDescent="0.75">
      <c r="A77" s="102"/>
      <c r="B77" s="103"/>
      <c r="D77" s="92"/>
      <c r="E77" s="104"/>
      <c r="G77" s="92"/>
      <c r="H77" s="99"/>
      <c r="I77" s="100"/>
      <c r="J77" s="99"/>
      <c r="K77" s="100"/>
      <c r="L77" s="100"/>
      <c r="R77" s="92"/>
      <c r="S77" s="92"/>
      <c r="T77" s="92"/>
    </row>
    <row r="78" spans="1:20" s="85" customFormat="1" ht="15.6" x14ac:dyDescent="0.75">
      <c r="A78" s="92" t="s">
        <v>318</v>
      </c>
      <c r="B78" s="95">
        <v>1.8499999999999999E-2</v>
      </c>
      <c r="C78" s="85" t="s">
        <v>277</v>
      </c>
      <c r="D78" s="94">
        <v>0</v>
      </c>
      <c r="E78" s="95">
        <v>1.8499999999999999E-2</v>
      </c>
      <c r="F78" s="85" t="s">
        <v>277</v>
      </c>
      <c r="G78" s="94">
        <v>0</v>
      </c>
      <c r="H78" s="99" t="s">
        <v>281</v>
      </c>
      <c r="I78" s="100" t="s">
        <v>281</v>
      </c>
      <c r="J78" s="96">
        <v>4500</v>
      </c>
      <c r="K78" s="94">
        <v>9000</v>
      </c>
      <c r="L78" s="94">
        <v>1000</v>
      </c>
      <c r="M78" s="97"/>
      <c r="R78" s="92"/>
      <c r="S78" s="92"/>
      <c r="T78" s="92"/>
    </row>
    <row r="79" spans="1:20" s="85" customFormat="1" ht="15.6" x14ac:dyDescent="0.75">
      <c r="A79" s="92" t="s">
        <v>319</v>
      </c>
      <c r="B79" s="95">
        <v>3.5000000000000003E-2</v>
      </c>
      <c r="C79" s="85" t="s">
        <v>277</v>
      </c>
      <c r="D79" s="94">
        <v>12500</v>
      </c>
      <c r="E79" s="95">
        <v>3.5000000000000003E-2</v>
      </c>
      <c r="F79" s="85" t="s">
        <v>277</v>
      </c>
      <c r="G79" s="94">
        <v>25000</v>
      </c>
      <c r="H79" s="99"/>
      <c r="I79" s="100"/>
      <c r="J79" s="99"/>
      <c r="K79" s="100"/>
      <c r="L79" s="100"/>
      <c r="R79" s="92"/>
      <c r="S79" s="92"/>
      <c r="T79" s="92"/>
    </row>
    <row r="80" spans="1:20" s="85" customFormat="1" ht="15.6" x14ac:dyDescent="0.75">
      <c r="A80" s="102"/>
      <c r="B80" s="95">
        <v>4.2450000000000002E-2</v>
      </c>
      <c r="C80" s="85" t="s">
        <v>277</v>
      </c>
      <c r="D80" s="94">
        <v>50000</v>
      </c>
      <c r="E80" s="95">
        <v>4.2450000000000002E-2</v>
      </c>
      <c r="F80" s="85" t="s">
        <v>277</v>
      </c>
      <c r="G80" s="94">
        <v>100000</v>
      </c>
      <c r="H80" s="99"/>
      <c r="I80" s="100"/>
      <c r="J80" s="99"/>
      <c r="K80" s="100"/>
      <c r="L80" s="100"/>
      <c r="R80" s="92"/>
      <c r="S80" s="92"/>
      <c r="T80" s="92"/>
    </row>
    <row r="81" spans="1:20" s="85" customFormat="1" ht="15.6" x14ac:dyDescent="0.75">
      <c r="A81" s="102"/>
      <c r="B81" s="103"/>
      <c r="D81" s="92"/>
      <c r="E81" s="104"/>
      <c r="G81" s="92"/>
      <c r="H81" s="99"/>
      <c r="I81" s="100"/>
      <c r="J81" s="99"/>
      <c r="K81" s="100"/>
      <c r="L81" s="100"/>
      <c r="R81" s="92"/>
      <c r="S81" s="92"/>
      <c r="T81" s="92"/>
    </row>
    <row r="82" spans="1:20" s="85" customFormat="1" ht="15.6" x14ac:dyDescent="0.75">
      <c r="A82" s="92" t="s">
        <v>320</v>
      </c>
      <c r="B82" s="93">
        <v>5.8000000000000003E-2</v>
      </c>
      <c r="C82" s="85" t="s">
        <v>277</v>
      </c>
      <c r="D82" s="94">
        <v>0</v>
      </c>
      <c r="E82" s="95">
        <v>5.8000000000000003E-2</v>
      </c>
      <c r="F82" s="85" t="s">
        <v>277</v>
      </c>
      <c r="G82" s="94">
        <v>0</v>
      </c>
      <c r="H82" s="96">
        <v>14600</v>
      </c>
      <c r="I82" s="94">
        <v>29200</v>
      </c>
      <c r="J82" s="96">
        <v>5000</v>
      </c>
      <c r="K82" s="94">
        <v>10000</v>
      </c>
      <c r="L82" s="100" t="s">
        <v>321</v>
      </c>
      <c r="M82" s="97"/>
      <c r="N82" s="106"/>
      <c r="R82" s="92"/>
      <c r="S82" s="92"/>
      <c r="T82" s="92"/>
    </row>
    <row r="83" spans="1:20" s="85" customFormat="1" ht="15.6" x14ac:dyDescent="0.75">
      <c r="A83" s="92" t="s">
        <v>322</v>
      </c>
      <c r="B83" s="93">
        <v>6.7500000000000004E-2</v>
      </c>
      <c r="C83" s="85" t="s">
        <v>277</v>
      </c>
      <c r="D83" s="94">
        <v>26050</v>
      </c>
      <c r="E83" s="95">
        <v>6.7500000000000004E-2</v>
      </c>
      <c r="F83" s="85" t="s">
        <v>277</v>
      </c>
      <c r="G83" s="94">
        <v>52100</v>
      </c>
      <c r="H83" s="99"/>
      <c r="I83" s="100"/>
      <c r="J83" s="99"/>
      <c r="K83" s="100"/>
      <c r="L83" s="100"/>
      <c r="R83" s="92"/>
      <c r="S83" s="92"/>
      <c r="T83" s="92"/>
    </row>
    <row r="84" spans="1:20" s="85" customFormat="1" ht="15.6" x14ac:dyDescent="0.75">
      <c r="A84" s="102"/>
      <c r="B84" s="93">
        <v>7.1499999999999994E-2</v>
      </c>
      <c r="C84" s="85" t="s">
        <v>277</v>
      </c>
      <c r="D84" s="94">
        <v>61600</v>
      </c>
      <c r="E84" s="95">
        <v>7.1499999999999994E-2</v>
      </c>
      <c r="F84" s="85" t="s">
        <v>277</v>
      </c>
      <c r="G84" s="94">
        <v>123250</v>
      </c>
      <c r="H84" s="99"/>
      <c r="I84" s="100"/>
      <c r="J84" s="99"/>
      <c r="K84" s="100"/>
      <c r="L84" s="100"/>
      <c r="R84" s="92"/>
      <c r="S84" s="92"/>
      <c r="T84" s="92"/>
    </row>
    <row r="85" spans="1:20" s="85" customFormat="1" ht="15.6" x14ac:dyDescent="0.75">
      <c r="A85" s="102"/>
      <c r="B85" s="103"/>
      <c r="D85" s="92"/>
      <c r="E85" s="104"/>
      <c r="G85" s="92"/>
      <c r="H85" s="99"/>
      <c r="I85" s="100"/>
      <c r="J85" s="99"/>
      <c r="K85" s="100"/>
      <c r="L85" s="100"/>
      <c r="R85" s="92"/>
      <c r="S85" s="92"/>
      <c r="T85" s="92"/>
    </row>
    <row r="86" spans="1:20" s="85" customFormat="1" ht="15.6" x14ac:dyDescent="0.75">
      <c r="A86" s="92" t="s">
        <v>323</v>
      </c>
      <c r="B86" s="93">
        <v>0.02</v>
      </c>
      <c r="C86" s="85" t="s">
        <v>277</v>
      </c>
      <c r="D86" s="94">
        <v>0</v>
      </c>
      <c r="E86" s="95">
        <v>0.02</v>
      </c>
      <c r="F86" s="85" t="s">
        <v>277</v>
      </c>
      <c r="G86" s="94">
        <v>0</v>
      </c>
      <c r="H86" s="96">
        <v>2550</v>
      </c>
      <c r="I86" s="94">
        <v>5150</v>
      </c>
      <c r="J86" s="96">
        <v>3200</v>
      </c>
      <c r="K86" s="94">
        <v>6400</v>
      </c>
      <c r="L86" s="94">
        <v>3200</v>
      </c>
      <c r="M86" s="97"/>
      <c r="N86" s="106"/>
      <c r="P86" s="85" t="s">
        <v>324</v>
      </c>
      <c r="R86" s="92"/>
      <c r="S86" s="92"/>
      <c r="T86" s="92"/>
    </row>
    <row r="87" spans="1:20" s="85" customFormat="1" ht="15.6" x14ac:dyDescent="0.75">
      <c r="A87" s="92" t="s">
        <v>325</v>
      </c>
      <c r="B87" s="93">
        <v>0.03</v>
      </c>
      <c r="C87" s="85" t="s">
        <v>277</v>
      </c>
      <c r="D87" s="94">
        <v>1000</v>
      </c>
      <c r="E87" s="95">
        <v>0.03</v>
      </c>
      <c r="F87" s="85" t="s">
        <v>277</v>
      </c>
      <c r="G87" s="94">
        <v>1000</v>
      </c>
      <c r="H87" s="99"/>
      <c r="I87" s="100"/>
      <c r="J87" s="99"/>
      <c r="K87" s="100"/>
      <c r="L87" s="100"/>
      <c r="N87" s="106"/>
      <c r="R87" s="92"/>
      <c r="S87" s="92"/>
      <c r="T87" s="92"/>
    </row>
    <row r="88" spans="1:20" s="85" customFormat="1" ht="15.6" x14ac:dyDescent="0.75">
      <c r="A88" s="115"/>
      <c r="B88" s="93">
        <v>0.04</v>
      </c>
      <c r="C88" s="85" t="s">
        <v>277</v>
      </c>
      <c r="D88" s="94">
        <v>2000</v>
      </c>
      <c r="E88" s="95">
        <v>0.04</v>
      </c>
      <c r="F88" s="85" t="s">
        <v>277</v>
      </c>
      <c r="G88" s="94">
        <v>2000</v>
      </c>
      <c r="H88" s="99"/>
      <c r="I88" s="100"/>
      <c r="J88" s="99"/>
      <c r="K88" s="100"/>
      <c r="L88" s="100"/>
      <c r="R88" s="92"/>
      <c r="S88" s="92"/>
      <c r="T88" s="92"/>
    </row>
    <row r="89" spans="1:20" s="85" customFormat="1" ht="15.6" x14ac:dyDescent="0.75">
      <c r="A89" s="102"/>
      <c r="B89" s="93">
        <v>4.7500000000000001E-2</v>
      </c>
      <c r="C89" s="85" t="s">
        <v>277</v>
      </c>
      <c r="D89" s="94">
        <v>3000</v>
      </c>
      <c r="E89" s="95">
        <v>4.7500000000000001E-2</v>
      </c>
      <c r="F89" s="85" t="s">
        <v>277</v>
      </c>
      <c r="G89" s="94">
        <v>3000</v>
      </c>
      <c r="H89" s="99"/>
      <c r="I89" s="100"/>
      <c r="J89" s="99"/>
      <c r="K89" s="100"/>
      <c r="L89" s="100"/>
      <c r="R89" s="92"/>
      <c r="S89" s="92"/>
      <c r="T89" s="92"/>
    </row>
    <row r="90" spans="1:20" s="85" customFormat="1" ht="15.6" x14ac:dyDescent="0.75">
      <c r="A90" s="102"/>
      <c r="B90" s="93">
        <v>0.05</v>
      </c>
      <c r="C90" s="85" t="s">
        <v>277</v>
      </c>
      <c r="D90" s="94">
        <v>100000</v>
      </c>
      <c r="E90" s="95">
        <v>0.05</v>
      </c>
      <c r="F90" s="85" t="s">
        <v>277</v>
      </c>
      <c r="G90" s="94">
        <v>150000</v>
      </c>
      <c r="H90" s="99"/>
      <c r="I90" s="100"/>
      <c r="J90" s="99"/>
      <c r="K90" s="100"/>
      <c r="L90" s="100"/>
      <c r="R90" s="92"/>
      <c r="S90" s="92"/>
      <c r="T90" s="92"/>
    </row>
    <row r="91" spans="1:20" s="85" customFormat="1" ht="15.6" x14ac:dyDescent="0.75">
      <c r="A91" s="102"/>
      <c r="B91" s="93">
        <v>5.2499999999999998E-2</v>
      </c>
      <c r="C91" s="85" t="s">
        <v>277</v>
      </c>
      <c r="D91" s="94">
        <v>125000</v>
      </c>
      <c r="E91" s="95">
        <v>5.2499999999999998E-2</v>
      </c>
      <c r="F91" s="85" t="s">
        <v>277</v>
      </c>
      <c r="G91" s="94">
        <v>175000</v>
      </c>
      <c r="H91" s="99"/>
      <c r="I91" s="100"/>
      <c r="J91" s="99"/>
      <c r="K91" s="100"/>
      <c r="L91" s="100"/>
      <c r="R91" s="92"/>
      <c r="S91" s="92"/>
      <c r="T91" s="92"/>
    </row>
    <row r="92" spans="1:20" s="85" customFormat="1" ht="15.6" x14ac:dyDescent="0.75">
      <c r="A92" s="102"/>
      <c r="B92" s="93">
        <v>5.5E-2</v>
      </c>
      <c r="C92" s="85" t="s">
        <v>277</v>
      </c>
      <c r="D92" s="94">
        <v>150000</v>
      </c>
      <c r="E92" s="95">
        <v>5.5E-2</v>
      </c>
      <c r="F92" s="85" t="s">
        <v>277</v>
      </c>
      <c r="G92" s="94">
        <v>225000</v>
      </c>
      <c r="H92" s="99"/>
      <c r="I92" s="100"/>
      <c r="J92" s="99"/>
      <c r="K92" s="100"/>
      <c r="L92" s="100"/>
      <c r="R92" s="92"/>
      <c r="S92" s="92"/>
      <c r="T92" s="92"/>
    </row>
    <row r="93" spans="1:20" s="85" customFormat="1" ht="15.6" x14ac:dyDescent="0.75">
      <c r="A93" s="102"/>
      <c r="B93" s="93">
        <v>5.7500000000000002E-2</v>
      </c>
      <c r="C93" s="85" t="s">
        <v>277</v>
      </c>
      <c r="D93" s="94">
        <v>250000</v>
      </c>
      <c r="E93" s="95">
        <v>5.7500000000000002E-2</v>
      </c>
      <c r="F93" s="85" t="s">
        <v>277</v>
      </c>
      <c r="G93" s="94">
        <v>300000</v>
      </c>
      <c r="H93" s="99"/>
      <c r="I93" s="100"/>
      <c r="J93" s="99"/>
      <c r="K93" s="100"/>
      <c r="L93" s="100"/>
      <c r="R93" s="92"/>
      <c r="S93" s="92"/>
      <c r="T93" s="92"/>
    </row>
    <row r="94" spans="1:20" s="85" customFormat="1" ht="15.6" x14ac:dyDescent="0.75">
      <c r="A94" s="102"/>
      <c r="B94" s="103"/>
      <c r="D94" s="92"/>
      <c r="E94" s="104"/>
      <c r="G94" s="92"/>
      <c r="H94" s="99"/>
      <c r="I94" s="100"/>
      <c r="J94" s="99"/>
      <c r="K94" s="100"/>
      <c r="L94" s="100"/>
      <c r="R94" s="92"/>
      <c r="S94" s="92"/>
      <c r="T94" s="92"/>
    </row>
    <row r="95" spans="1:20" s="85" customFormat="1" ht="15.6" x14ac:dyDescent="0.75">
      <c r="A95" s="92" t="s">
        <v>326</v>
      </c>
      <c r="B95" s="95">
        <v>0.05</v>
      </c>
      <c r="C95" s="92" t="s">
        <v>277</v>
      </c>
      <c r="D95" s="94">
        <v>0</v>
      </c>
      <c r="E95" s="95">
        <v>0.05</v>
      </c>
      <c r="F95" s="92" t="s">
        <v>277</v>
      </c>
      <c r="G95" s="94">
        <v>0</v>
      </c>
      <c r="H95" s="99" t="s">
        <v>281</v>
      </c>
      <c r="I95" s="100" t="s">
        <v>281</v>
      </c>
      <c r="J95" s="96">
        <v>4400</v>
      </c>
      <c r="K95" s="94">
        <v>8800</v>
      </c>
      <c r="L95" s="94">
        <v>1000</v>
      </c>
      <c r="M95" s="97"/>
      <c r="N95" s="92"/>
      <c r="O95" s="92"/>
      <c r="P95" s="92"/>
      <c r="Q95" s="92"/>
      <c r="R95" s="92"/>
      <c r="S95" s="92"/>
      <c r="T95" s="92"/>
    </row>
    <row r="96" spans="1:20" s="85" customFormat="1" ht="15.6" x14ac:dyDescent="0.75">
      <c r="A96" s="102"/>
      <c r="B96" s="95">
        <v>0.09</v>
      </c>
      <c r="C96" s="92" t="s">
        <v>277</v>
      </c>
      <c r="D96" s="111">
        <v>1000000</v>
      </c>
      <c r="E96" s="95">
        <v>0.09</v>
      </c>
      <c r="F96" s="92" t="s">
        <v>277</v>
      </c>
      <c r="G96" s="111">
        <v>1000000</v>
      </c>
      <c r="H96" s="99"/>
      <c r="I96" s="100"/>
      <c r="J96" s="99"/>
      <c r="K96" s="100"/>
      <c r="L96" s="100"/>
      <c r="R96" s="92"/>
      <c r="S96" s="92"/>
      <c r="T96" s="92"/>
    </row>
    <row r="97" spans="1:20" s="85" customFormat="1" ht="15.6" x14ac:dyDescent="0.75">
      <c r="A97" s="102"/>
      <c r="B97" s="103"/>
      <c r="D97" s="92"/>
      <c r="E97" s="104"/>
      <c r="G97" s="92"/>
      <c r="H97" s="99"/>
      <c r="I97" s="100"/>
      <c r="J97" s="99"/>
      <c r="K97" s="100"/>
      <c r="L97" s="100"/>
      <c r="R97" s="92"/>
      <c r="S97" s="92"/>
      <c r="T97" s="92"/>
    </row>
    <row r="98" spans="1:20" s="85" customFormat="1" ht="15.6" x14ac:dyDescent="0.75">
      <c r="A98" s="92" t="s">
        <v>327</v>
      </c>
      <c r="B98" s="93">
        <v>4.2500000000000003E-2</v>
      </c>
      <c r="C98" s="92" t="s">
        <v>277</v>
      </c>
      <c r="D98" s="94">
        <v>0</v>
      </c>
      <c r="E98" s="95">
        <v>4.2500000000000003E-2</v>
      </c>
      <c r="F98" s="92" t="s">
        <v>277</v>
      </c>
      <c r="G98" s="94">
        <v>0</v>
      </c>
      <c r="H98" s="99" t="s">
        <v>281</v>
      </c>
      <c r="I98" s="100" t="s">
        <v>281</v>
      </c>
      <c r="J98" s="96">
        <v>5600</v>
      </c>
      <c r="K98" s="94">
        <v>11200</v>
      </c>
      <c r="L98" s="94">
        <v>5600</v>
      </c>
      <c r="M98" s="97"/>
      <c r="R98" s="92"/>
      <c r="S98" s="92"/>
      <c r="T98" s="92"/>
    </row>
    <row r="99" spans="1:20" s="85" customFormat="1" ht="15.6" x14ac:dyDescent="0.75">
      <c r="A99" s="102"/>
      <c r="B99" s="103"/>
      <c r="D99" s="92"/>
      <c r="E99" s="104"/>
      <c r="G99" s="116"/>
      <c r="H99" s="99"/>
      <c r="I99" s="100"/>
      <c r="J99" s="99"/>
      <c r="K99" s="92"/>
      <c r="L99" s="100"/>
      <c r="N99" s="106"/>
      <c r="R99" s="92"/>
      <c r="S99" s="92"/>
      <c r="T99" s="92"/>
    </row>
    <row r="100" spans="1:20" s="85" customFormat="1" ht="15.6" x14ac:dyDescent="0.75">
      <c r="A100" s="92" t="s">
        <v>328</v>
      </c>
      <c r="B100" s="93">
        <v>5.3499999999999999E-2</v>
      </c>
      <c r="C100" s="85" t="s">
        <v>277</v>
      </c>
      <c r="D100" s="94">
        <v>0</v>
      </c>
      <c r="E100" s="95">
        <v>5.3499999999999999E-2</v>
      </c>
      <c r="F100" s="85" t="s">
        <v>277</v>
      </c>
      <c r="G100" s="94">
        <v>0</v>
      </c>
      <c r="H100" s="96">
        <v>14575</v>
      </c>
      <c r="I100" s="94">
        <v>29150</v>
      </c>
      <c r="J100" s="96" t="s">
        <v>281</v>
      </c>
      <c r="K100" s="94" t="s">
        <v>281</v>
      </c>
      <c r="L100" s="94">
        <v>5050</v>
      </c>
      <c r="M100" s="97"/>
      <c r="R100" s="92"/>
      <c r="S100" s="92"/>
      <c r="T100" s="92"/>
    </row>
    <row r="101" spans="1:20" s="85" customFormat="1" ht="15.6" x14ac:dyDescent="0.75">
      <c r="A101" s="92" t="s">
        <v>329</v>
      </c>
      <c r="B101" s="93">
        <v>6.8000000000000005E-2</v>
      </c>
      <c r="C101" s="85" t="s">
        <v>277</v>
      </c>
      <c r="D101" s="94">
        <v>31690</v>
      </c>
      <c r="E101" s="95">
        <v>6.8000000000000005E-2</v>
      </c>
      <c r="F101" s="85" t="s">
        <v>277</v>
      </c>
      <c r="G101" s="94">
        <v>46330</v>
      </c>
      <c r="H101" s="99"/>
      <c r="I101" s="100"/>
      <c r="J101" s="99"/>
      <c r="K101" s="100"/>
      <c r="L101" s="100"/>
      <c r="R101" s="92"/>
      <c r="S101" s="92"/>
      <c r="T101" s="92"/>
    </row>
    <row r="102" spans="1:20" s="85" customFormat="1" ht="15.6" x14ac:dyDescent="0.75">
      <c r="A102" s="102"/>
      <c r="B102" s="93">
        <v>7.85E-2</v>
      </c>
      <c r="C102" s="85" t="s">
        <v>277</v>
      </c>
      <c r="D102" s="94">
        <v>104090</v>
      </c>
      <c r="E102" s="95">
        <v>7.85E-2</v>
      </c>
      <c r="F102" s="85" t="s">
        <v>277</v>
      </c>
      <c r="G102" s="94">
        <v>184040</v>
      </c>
      <c r="H102" s="99"/>
      <c r="I102" s="100"/>
      <c r="J102" s="99"/>
      <c r="K102" s="100"/>
      <c r="L102" s="100"/>
      <c r="R102" s="92"/>
      <c r="S102" s="92"/>
      <c r="T102" s="92"/>
    </row>
    <row r="103" spans="1:20" s="85" customFormat="1" ht="15.6" x14ac:dyDescent="0.75">
      <c r="A103" s="102"/>
      <c r="B103" s="93">
        <v>9.8500000000000004E-2</v>
      </c>
      <c r="C103" s="85" t="s">
        <v>277</v>
      </c>
      <c r="D103" s="94">
        <v>193240</v>
      </c>
      <c r="E103" s="95">
        <v>9.8500000000000004E-2</v>
      </c>
      <c r="F103" s="85" t="s">
        <v>277</v>
      </c>
      <c r="G103" s="94">
        <v>321450</v>
      </c>
      <c r="H103" s="99"/>
      <c r="I103" s="100"/>
      <c r="J103" s="99"/>
      <c r="K103" s="100"/>
      <c r="L103" s="100"/>
      <c r="R103" s="92"/>
      <c r="S103" s="92"/>
      <c r="T103" s="92"/>
    </row>
    <row r="104" spans="1:20" s="85" customFormat="1" ht="15.6" x14ac:dyDescent="0.75">
      <c r="A104" s="102"/>
      <c r="B104" s="103"/>
      <c r="D104" s="92"/>
      <c r="E104" s="104"/>
      <c r="G104" s="92"/>
      <c r="H104" s="99"/>
      <c r="I104" s="100"/>
      <c r="J104" s="99"/>
      <c r="K104" s="100"/>
      <c r="L104" s="100"/>
      <c r="R104" s="92"/>
      <c r="S104" s="92"/>
      <c r="T104" s="92"/>
    </row>
    <row r="105" spans="1:20" s="85" customFormat="1" ht="15.6" x14ac:dyDescent="0.75">
      <c r="A105" s="92" t="s">
        <v>330</v>
      </c>
      <c r="B105" s="93">
        <v>4.7E-2</v>
      </c>
      <c r="C105" s="85" t="s">
        <v>277</v>
      </c>
      <c r="D105" s="94">
        <v>10000</v>
      </c>
      <c r="E105" s="95">
        <v>4.7E-2</v>
      </c>
      <c r="F105" s="85" t="s">
        <v>277</v>
      </c>
      <c r="G105" s="94">
        <v>10000</v>
      </c>
      <c r="H105" s="96">
        <v>2300</v>
      </c>
      <c r="I105" s="94">
        <v>4600</v>
      </c>
      <c r="J105" s="96">
        <v>6000</v>
      </c>
      <c r="K105" s="94">
        <v>12000</v>
      </c>
      <c r="L105" s="94">
        <v>1500</v>
      </c>
      <c r="M105" s="97"/>
      <c r="R105" s="92"/>
      <c r="S105" s="92"/>
      <c r="T105" s="92"/>
    </row>
    <row r="106" spans="1:20" s="85" customFormat="1" ht="15.6" x14ac:dyDescent="0.75">
      <c r="A106" s="102"/>
      <c r="D106" s="92"/>
      <c r="E106" s="92"/>
      <c r="G106" s="92"/>
      <c r="H106" s="99"/>
      <c r="I106" s="100"/>
      <c r="J106" s="99"/>
      <c r="K106" s="100"/>
      <c r="L106" s="100"/>
      <c r="R106" s="92"/>
      <c r="S106" s="92"/>
      <c r="T106" s="92"/>
    </row>
    <row r="107" spans="1:20" s="85" customFormat="1" ht="15.6" x14ac:dyDescent="0.75">
      <c r="A107" s="92" t="s">
        <v>331</v>
      </c>
      <c r="B107" s="93">
        <v>0.02</v>
      </c>
      <c r="C107" s="85" t="s">
        <v>277</v>
      </c>
      <c r="D107" s="94">
        <v>1273</v>
      </c>
      <c r="E107" s="95">
        <v>0.02</v>
      </c>
      <c r="F107" s="85" t="s">
        <v>277</v>
      </c>
      <c r="G107" s="94">
        <v>1207</v>
      </c>
      <c r="H107" s="96">
        <v>14600</v>
      </c>
      <c r="I107" s="94">
        <v>29200</v>
      </c>
      <c r="J107" s="99" t="s">
        <v>332</v>
      </c>
      <c r="K107" s="100" t="s">
        <v>332</v>
      </c>
      <c r="L107" s="100" t="s">
        <v>332</v>
      </c>
      <c r="N107" s="106"/>
      <c r="R107" s="92"/>
      <c r="S107" s="92"/>
      <c r="T107" s="92"/>
    </row>
    <row r="108" spans="1:20" s="85" customFormat="1" ht="15.6" x14ac:dyDescent="0.75">
      <c r="A108" s="92" t="s">
        <v>333</v>
      </c>
      <c r="B108" s="93">
        <v>2.5000000000000001E-2</v>
      </c>
      <c r="C108" s="85" t="s">
        <v>277</v>
      </c>
      <c r="D108" s="94">
        <v>2546</v>
      </c>
      <c r="E108" s="95">
        <v>2.5000000000000001E-2</v>
      </c>
      <c r="F108" s="85" t="s">
        <v>277</v>
      </c>
      <c r="G108" s="94">
        <v>2414</v>
      </c>
      <c r="H108" s="99"/>
      <c r="I108" s="100"/>
      <c r="J108" s="99"/>
      <c r="K108" s="100"/>
      <c r="L108" s="93"/>
      <c r="N108" s="117"/>
      <c r="R108" s="92"/>
      <c r="S108" s="92"/>
      <c r="T108" s="92"/>
    </row>
    <row r="109" spans="1:20" s="85" customFormat="1" ht="15.6" x14ac:dyDescent="0.75">
      <c r="A109" s="102"/>
      <c r="B109" s="93">
        <v>0.03</v>
      </c>
      <c r="C109" s="85" t="s">
        <v>277</v>
      </c>
      <c r="D109" s="94">
        <v>3819</v>
      </c>
      <c r="E109" s="95">
        <v>0.03</v>
      </c>
      <c r="F109" s="85" t="s">
        <v>277</v>
      </c>
      <c r="G109" s="94">
        <v>3621</v>
      </c>
      <c r="H109" s="99"/>
      <c r="I109" s="100"/>
      <c r="J109" s="99"/>
      <c r="K109" s="100"/>
      <c r="L109" s="93"/>
      <c r="N109" s="94"/>
      <c r="R109" s="92"/>
      <c r="S109" s="92"/>
      <c r="T109" s="92"/>
    </row>
    <row r="110" spans="1:20" s="85" customFormat="1" ht="15.6" x14ac:dyDescent="0.75">
      <c r="A110" s="102"/>
      <c r="B110" s="93">
        <v>3.5000000000000003E-2</v>
      </c>
      <c r="C110" s="85" t="s">
        <v>277</v>
      </c>
      <c r="D110" s="94">
        <v>5092</v>
      </c>
      <c r="E110" s="95">
        <v>3.5000000000000003E-2</v>
      </c>
      <c r="F110" s="85" t="s">
        <v>277</v>
      </c>
      <c r="G110" s="94">
        <v>4828</v>
      </c>
      <c r="H110" s="99"/>
      <c r="I110" s="100"/>
      <c r="J110" s="99"/>
      <c r="K110" s="100"/>
      <c r="L110" s="93"/>
      <c r="N110" s="94"/>
      <c r="R110" s="92"/>
      <c r="S110" s="92"/>
      <c r="T110" s="92"/>
    </row>
    <row r="111" spans="1:20" s="85" customFormat="1" ht="15.6" x14ac:dyDescent="0.75">
      <c r="A111" s="102"/>
      <c r="B111" s="93">
        <v>0.04</v>
      </c>
      <c r="C111" s="85" t="s">
        <v>277</v>
      </c>
      <c r="D111" s="94">
        <v>6365</v>
      </c>
      <c r="E111" s="95">
        <v>0.04</v>
      </c>
      <c r="F111" s="85" t="s">
        <v>277</v>
      </c>
      <c r="G111" s="94">
        <v>6035</v>
      </c>
      <c r="H111" s="99"/>
      <c r="I111" s="100"/>
      <c r="J111" s="99"/>
      <c r="K111" s="100"/>
      <c r="L111" s="93"/>
      <c r="N111" s="94"/>
      <c r="R111" s="92"/>
      <c r="S111" s="92"/>
      <c r="T111" s="92"/>
    </row>
    <row r="112" spans="1:20" s="85" customFormat="1" ht="15.6" x14ac:dyDescent="0.75">
      <c r="A112" s="102"/>
      <c r="B112" s="93">
        <v>4.4999999999999998E-2</v>
      </c>
      <c r="C112" s="85" t="s">
        <v>277</v>
      </c>
      <c r="D112" s="94">
        <v>7638</v>
      </c>
      <c r="E112" s="95">
        <v>4.4999999999999998E-2</v>
      </c>
      <c r="F112" s="85" t="s">
        <v>277</v>
      </c>
      <c r="G112" s="94">
        <v>7242</v>
      </c>
      <c r="H112" s="99"/>
      <c r="I112" s="100"/>
      <c r="J112" s="99"/>
      <c r="K112" s="100"/>
      <c r="L112" s="93"/>
      <c r="N112" s="94"/>
      <c r="R112" s="92"/>
      <c r="S112" s="92"/>
      <c r="T112" s="92"/>
    </row>
    <row r="113" spans="1:20" s="85" customFormat="1" ht="15.6" x14ac:dyDescent="0.75">
      <c r="A113" s="102"/>
      <c r="B113" s="93">
        <v>4.8000000000000001E-2</v>
      </c>
      <c r="C113" s="85" t="s">
        <v>277</v>
      </c>
      <c r="D113" s="94">
        <v>8911</v>
      </c>
      <c r="E113" s="93">
        <v>4.8000000000000001E-2</v>
      </c>
      <c r="F113" s="85" t="s">
        <v>277</v>
      </c>
      <c r="G113" s="94">
        <v>8449</v>
      </c>
      <c r="H113" s="99"/>
      <c r="I113" s="100"/>
      <c r="J113" s="99"/>
      <c r="K113" s="100"/>
      <c r="L113" s="93"/>
      <c r="N113" s="94"/>
      <c r="R113" s="92"/>
      <c r="S113" s="92"/>
      <c r="T113" s="92"/>
    </row>
    <row r="114" spans="1:20" s="85" customFormat="1" ht="15.6" x14ac:dyDescent="0.75">
      <c r="A114" s="102"/>
      <c r="B114" s="105"/>
      <c r="D114" s="92"/>
      <c r="E114" s="104"/>
      <c r="G114" s="92"/>
      <c r="H114" s="99"/>
      <c r="I114" s="100"/>
      <c r="J114" s="99"/>
      <c r="K114" s="100"/>
      <c r="L114" s="93"/>
      <c r="N114" s="94"/>
      <c r="R114" s="92"/>
      <c r="S114" s="92"/>
      <c r="T114" s="92"/>
    </row>
    <row r="115" spans="1:20" s="85" customFormat="1" ht="15.6" x14ac:dyDescent="0.75">
      <c r="A115" s="92" t="s">
        <v>334</v>
      </c>
      <c r="B115" s="93">
        <v>4.7E-2</v>
      </c>
      <c r="C115" s="85" t="s">
        <v>277</v>
      </c>
      <c r="D115" s="94">
        <v>0</v>
      </c>
      <c r="E115" s="93">
        <v>4.7E-2</v>
      </c>
      <c r="F115" s="85" t="s">
        <v>277</v>
      </c>
      <c r="G115" s="94">
        <v>0</v>
      </c>
      <c r="H115" s="96">
        <v>14600</v>
      </c>
      <c r="I115" s="94">
        <v>29200</v>
      </c>
      <c r="J115" s="99" t="s">
        <v>332</v>
      </c>
      <c r="K115" s="100" t="s">
        <v>332</v>
      </c>
      <c r="L115" s="100" t="s">
        <v>332</v>
      </c>
      <c r="M115" s="97"/>
      <c r="R115" s="92"/>
      <c r="S115" s="92"/>
      <c r="T115" s="92"/>
    </row>
    <row r="116" spans="1:20" s="85" customFormat="1" ht="15.6" x14ac:dyDescent="0.75">
      <c r="A116" s="92" t="s">
        <v>335</v>
      </c>
      <c r="B116" s="93">
        <v>5.8999999999999997E-2</v>
      </c>
      <c r="C116" s="85" t="s">
        <v>277</v>
      </c>
      <c r="D116" s="94">
        <v>20500</v>
      </c>
      <c r="E116" s="93">
        <v>5.8999999999999997E-2</v>
      </c>
      <c r="F116" s="85" t="s">
        <v>277</v>
      </c>
      <c r="G116" s="94">
        <v>41000</v>
      </c>
      <c r="H116" s="99"/>
      <c r="I116" s="100"/>
      <c r="J116" s="99"/>
      <c r="K116" s="100"/>
      <c r="L116" s="100"/>
      <c r="R116" s="92"/>
      <c r="S116" s="92"/>
      <c r="T116" s="92"/>
    </row>
    <row r="117" spans="1:20" s="85" customFormat="1" ht="15.6" x14ac:dyDescent="0.75">
      <c r="A117" s="102"/>
      <c r="B117" s="105"/>
      <c r="D117" s="92"/>
      <c r="E117" s="104"/>
      <c r="G117" s="92"/>
      <c r="H117" s="99"/>
      <c r="I117" s="100"/>
      <c r="J117" s="99"/>
      <c r="K117" s="100"/>
      <c r="L117" s="100"/>
      <c r="R117" s="92"/>
      <c r="S117" s="92"/>
      <c r="T117" s="92"/>
    </row>
    <row r="118" spans="1:20" s="85" customFormat="1" ht="15.6" x14ac:dyDescent="0.75">
      <c r="A118" s="92" t="s">
        <v>336</v>
      </c>
      <c r="B118" s="95">
        <v>2.46E-2</v>
      </c>
      <c r="C118" s="92" t="s">
        <v>277</v>
      </c>
      <c r="D118" s="94">
        <v>0</v>
      </c>
      <c r="E118" s="95">
        <v>2.46E-2</v>
      </c>
      <c r="F118" s="92" t="s">
        <v>277</v>
      </c>
      <c r="G118" s="94">
        <v>0</v>
      </c>
      <c r="H118" s="96">
        <v>7900</v>
      </c>
      <c r="I118" s="94">
        <v>15800</v>
      </c>
      <c r="J118" s="100" t="s">
        <v>337</v>
      </c>
      <c r="K118" s="100" t="s">
        <v>338</v>
      </c>
      <c r="L118" s="100" t="s">
        <v>337</v>
      </c>
      <c r="M118" s="97"/>
      <c r="R118" s="92"/>
      <c r="S118" s="92"/>
      <c r="T118" s="92"/>
    </row>
    <row r="119" spans="1:20" s="85" customFormat="1" ht="15.6" x14ac:dyDescent="0.75">
      <c r="A119" s="92" t="s">
        <v>339</v>
      </c>
      <c r="B119" s="95">
        <v>3.5099999999999999E-2</v>
      </c>
      <c r="C119" s="92" t="s">
        <v>277</v>
      </c>
      <c r="D119" s="94">
        <v>3700</v>
      </c>
      <c r="E119" s="95">
        <v>3.5099999999999999E-2</v>
      </c>
      <c r="F119" s="92" t="s">
        <v>277</v>
      </c>
      <c r="G119" s="94">
        <v>7390</v>
      </c>
      <c r="H119" s="99"/>
      <c r="I119" s="100"/>
      <c r="J119" s="92"/>
      <c r="K119" s="92"/>
      <c r="L119" s="92"/>
      <c r="R119" s="92"/>
      <c r="S119" s="92"/>
      <c r="T119" s="92"/>
    </row>
    <row r="120" spans="1:20" s="85" customFormat="1" ht="15.6" x14ac:dyDescent="0.75">
      <c r="A120" s="102"/>
      <c r="B120" s="95">
        <v>5.0099999999999999E-2</v>
      </c>
      <c r="C120" s="92" t="s">
        <v>277</v>
      </c>
      <c r="D120" s="94">
        <v>22170</v>
      </c>
      <c r="E120" s="95">
        <v>5.0099999999999999E-2</v>
      </c>
      <c r="F120" s="92" t="s">
        <v>277</v>
      </c>
      <c r="G120" s="94">
        <v>44350</v>
      </c>
      <c r="H120" s="99"/>
      <c r="I120" s="100"/>
      <c r="J120" s="99"/>
      <c r="K120" s="100"/>
      <c r="L120" s="100"/>
      <c r="R120" s="92"/>
      <c r="S120" s="92"/>
      <c r="T120" s="92"/>
    </row>
    <row r="121" spans="1:20" s="85" customFormat="1" ht="15.6" x14ac:dyDescent="0.75">
      <c r="A121" s="102"/>
      <c r="B121" s="95">
        <v>5.8400000000000001E-2</v>
      </c>
      <c r="C121" s="92" t="s">
        <v>277</v>
      </c>
      <c r="D121" s="94">
        <v>35730</v>
      </c>
      <c r="E121" s="95">
        <v>5.8400000000000001E-2</v>
      </c>
      <c r="F121" s="92" t="s">
        <v>277</v>
      </c>
      <c r="G121" s="94">
        <v>71460</v>
      </c>
      <c r="H121" s="99"/>
      <c r="I121" s="100"/>
      <c r="J121" s="99"/>
      <c r="K121" s="100"/>
      <c r="L121" s="100"/>
      <c r="R121" s="92"/>
      <c r="S121" s="92"/>
      <c r="T121" s="92"/>
    </row>
    <row r="122" spans="1:20" s="85" customFormat="1" ht="15.6" x14ac:dyDescent="0.75">
      <c r="A122" s="102"/>
      <c r="B122" s="103"/>
      <c r="D122" s="92"/>
      <c r="E122" s="104"/>
      <c r="G122" s="92"/>
      <c r="H122" s="99"/>
      <c r="I122" s="100"/>
      <c r="J122" s="99"/>
      <c r="K122" s="100"/>
      <c r="L122" s="100"/>
      <c r="R122" s="92"/>
      <c r="S122" s="92"/>
      <c r="T122" s="92"/>
    </row>
    <row r="123" spans="1:20" s="85" customFormat="1" ht="15.6" x14ac:dyDescent="0.75">
      <c r="A123" s="92" t="s">
        <v>340</v>
      </c>
      <c r="B123" s="280" t="s">
        <v>280</v>
      </c>
      <c r="C123" s="281"/>
      <c r="D123" s="281"/>
      <c r="E123" s="280" t="s">
        <v>280</v>
      </c>
      <c r="F123" s="281"/>
      <c r="G123" s="281"/>
      <c r="H123" s="99" t="s">
        <v>281</v>
      </c>
      <c r="I123" s="100" t="s">
        <v>281</v>
      </c>
      <c r="J123" s="99" t="s">
        <v>281</v>
      </c>
      <c r="K123" s="100" t="s">
        <v>281</v>
      </c>
      <c r="L123" s="100" t="s">
        <v>281</v>
      </c>
      <c r="M123" s="97"/>
      <c r="R123" s="92"/>
      <c r="S123" s="92"/>
      <c r="T123" s="92"/>
    </row>
    <row r="124" spans="1:20" s="85" customFormat="1" ht="15.6" x14ac:dyDescent="0.75">
      <c r="A124" s="102"/>
      <c r="B124" s="103"/>
      <c r="D124" s="92"/>
      <c r="E124" s="104"/>
      <c r="G124" s="92"/>
      <c r="H124" s="99"/>
      <c r="I124" s="100"/>
      <c r="J124" s="99"/>
      <c r="K124" s="100"/>
      <c r="L124" s="100"/>
      <c r="R124" s="92"/>
      <c r="S124" s="92"/>
      <c r="T124" s="92"/>
    </row>
    <row r="125" spans="1:20" s="85" customFormat="1" ht="15.6" x14ac:dyDescent="0.75">
      <c r="A125" s="92" t="s">
        <v>341</v>
      </c>
      <c r="B125" s="282" t="s">
        <v>342</v>
      </c>
      <c r="C125" s="283"/>
      <c r="D125" s="283"/>
      <c r="E125" s="282" t="s">
        <v>342</v>
      </c>
      <c r="F125" s="283"/>
      <c r="G125" s="283"/>
      <c r="H125" s="99" t="s">
        <v>332</v>
      </c>
      <c r="I125" s="100" t="s">
        <v>332</v>
      </c>
      <c r="J125" s="96">
        <v>2400</v>
      </c>
      <c r="K125" s="94">
        <v>4800</v>
      </c>
      <c r="L125" s="100" t="s">
        <v>281</v>
      </c>
      <c r="M125" s="97"/>
      <c r="R125" s="92"/>
      <c r="S125" s="92"/>
      <c r="T125" s="92"/>
    </row>
    <row r="126" spans="1:20" s="85" customFormat="1" ht="15.6" x14ac:dyDescent="0.75">
      <c r="A126" s="102"/>
      <c r="B126" s="103"/>
      <c r="D126" s="92"/>
      <c r="E126" s="104"/>
      <c r="G126" s="92"/>
      <c r="H126" s="99"/>
      <c r="I126" s="100"/>
      <c r="J126" s="99"/>
      <c r="K126" s="100"/>
      <c r="L126" s="100"/>
      <c r="R126" s="92"/>
      <c r="S126" s="92"/>
      <c r="T126" s="92"/>
    </row>
    <row r="127" spans="1:20" s="85" customFormat="1" ht="15.6" x14ac:dyDescent="0.75">
      <c r="A127" s="92" t="s">
        <v>343</v>
      </c>
      <c r="B127" s="119">
        <v>1.4E-2</v>
      </c>
      <c r="C127" s="85" t="s">
        <v>277</v>
      </c>
      <c r="D127" s="94">
        <v>0</v>
      </c>
      <c r="E127" s="120">
        <v>1.4E-2</v>
      </c>
      <c r="F127" s="85" t="s">
        <v>277</v>
      </c>
      <c r="G127" s="94">
        <v>0</v>
      </c>
      <c r="H127" s="99" t="s">
        <v>281</v>
      </c>
      <c r="I127" s="100" t="s">
        <v>281</v>
      </c>
      <c r="J127" s="96">
        <v>1000</v>
      </c>
      <c r="K127" s="94">
        <v>2000</v>
      </c>
      <c r="L127" s="94">
        <v>1500</v>
      </c>
      <c r="M127" s="97"/>
      <c r="R127" s="92"/>
      <c r="S127" s="92"/>
      <c r="T127" s="92"/>
    </row>
    <row r="128" spans="1:20" s="85" customFormat="1" ht="15.6" x14ac:dyDescent="0.75">
      <c r="A128" s="92" t="s">
        <v>344</v>
      </c>
      <c r="B128" s="119">
        <v>1.7500000000000002E-2</v>
      </c>
      <c r="C128" s="85" t="s">
        <v>277</v>
      </c>
      <c r="D128" s="94">
        <v>20000</v>
      </c>
      <c r="E128" s="120">
        <v>1.7500000000000002E-2</v>
      </c>
      <c r="F128" s="85" t="s">
        <v>277</v>
      </c>
      <c r="G128" s="94">
        <v>20000</v>
      </c>
      <c r="H128" s="99"/>
      <c r="I128" s="100"/>
      <c r="J128" s="99"/>
      <c r="K128" s="100"/>
      <c r="L128" s="100"/>
      <c r="R128" s="92"/>
      <c r="S128" s="92"/>
      <c r="T128" s="92"/>
    </row>
    <row r="129" spans="1:20" s="85" customFormat="1" ht="15.6" x14ac:dyDescent="0.75">
      <c r="A129" s="102"/>
      <c r="B129" s="119">
        <v>3.5000000000000003E-2</v>
      </c>
      <c r="C129" s="85" t="s">
        <v>277</v>
      </c>
      <c r="D129" s="94">
        <v>35000</v>
      </c>
      <c r="E129" s="120">
        <v>2.4500000000000001E-2</v>
      </c>
      <c r="F129" s="85" t="s">
        <v>277</v>
      </c>
      <c r="G129" s="94">
        <v>50000</v>
      </c>
      <c r="H129" s="99"/>
      <c r="I129" s="100"/>
      <c r="J129" s="99"/>
      <c r="K129" s="100"/>
      <c r="L129" s="100"/>
      <c r="R129" s="92"/>
      <c r="S129" s="92"/>
      <c r="T129" s="92"/>
    </row>
    <row r="130" spans="1:20" s="85" customFormat="1" ht="15.6" x14ac:dyDescent="0.75">
      <c r="A130" s="102"/>
      <c r="B130" s="119">
        <v>5.525E-2</v>
      </c>
      <c r="C130" s="85" t="s">
        <v>277</v>
      </c>
      <c r="D130" s="94">
        <v>40000</v>
      </c>
      <c r="E130" s="120">
        <v>3.5000000000000003E-2</v>
      </c>
      <c r="F130" s="85" t="s">
        <v>277</v>
      </c>
      <c r="G130" s="94">
        <v>70000</v>
      </c>
      <c r="H130" s="99"/>
      <c r="I130" s="100"/>
      <c r="J130" s="99"/>
      <c r="K130" s="100"/>
      <c r="L130" s="100"/>
      <c r="R130" s="92"/>
      <c r="S130" s="92"/>
      <c r="T130" s="92"/>
    </row>
    <row r="131" spans="1:20" s="85" customFormat="1" ht="15.6" x14ac:dyDescent="0.75">
      <c r="A131" s="102"/>
      <c r="B131" s="119">
        <v>6.3700000000000007E-2</v>
      </c>
      <c r="C131" s="85" t="s">
        <v>277</v>
      </c>
      <c r="D131" s="94">
        <v>75000</v>
      </c>
      <c r="E131" s="120">
        <v>5.525E-2</v>
      </c>
      <c r="F131" s="85" t="s">
        <v>277</v>
      </c>
      <c r="G131" s="94">
        <v>80000</v>
      </c>
      <c r="H131" s="99"/>
      <c r="I131" s="100"/>
      <c r="J131" s="99"/>
      <c r="K131" s="100"/>
      <c r="L131" s="100"/>
      <c r="R131" s="92"/>
      <c r="S131" s="92"/>
      <c r="T131" s="92"/>
    </row>
    <row r="132" spans="1:20" s="85" customFormat="1" ht="15.6" x14ac:dyDescent="0.75">
      <c r="A132" s="102"/>
      <c r="B132" s="119">
        <v>8.9700000000000002E-2</v>
      </c>
      <c r="C132" s="85" t="s">
        <v>277</v>
      </c>
      <c r="D132" s="94">
        <v>500000</v>
      </c>
      <c r="E132" s="120">
        <v>6.3700000000000007E-2</v>
      </c>
      <c r="F132" s="85" t="s">
        <v>277</v>
      </c>
      <c r="G132" s="94">
        <v>150000</v>
      </c>
      <c r="H132" s="99"/>
      <c r="I132" s="100"/>
      <c r="J132" s="99"/>
      <c r="K132" s="100"/>
      <c r="L132" s="100"/>
      <c r="R132" s="92"/>
      <c r="S132" s="92"/>
      <c r="T132" s="92"/>
    </row>
    <row r="133" spans="1:20" s="85" customFormat="1" ht="15.6" x14ac:dyDescent="0.75">
      <c r="A133" s="102"/>
      <c r="B133" s="119">
        <v>0.1075</v>
      </c>
      <c r="C133" s="85" t="s">
        <v>277</v>
      </c>
      <c r="D133" s="94">
        <v>1000000</v>
      </c>
      <c r="E133" s="120">
        <v>8.9700000000000002E-2</v>
      </c>
      <c r="F133" s="85" t="s">
        <v>277</v>
      </c>
      <c r="G133" s="94">
        <v>500000</v>
      </c>
      <c r="H133" s="99"/>
      <c r="I133" s="100"/>
      <c r="J133" s="99"/>
      <c r="K133" s="100"/>
      <c r="L133" s="100"/>
      <c r="R133" s="92"/>
      <c r="S133" s="92"/>
      <c r="T133" s="92"/>
    </row>
    <row r="134" spans="1:20" s="85" customFormat="1" ht="15.6" x14ac:dyDescent="0.75">
      <c r="A134" s="102"/>
      <c r="B134" s="103"/>
      <c r="D134" s="92"/>
      <c r="E134" s="121">
        <v>0.1075</v>
      </c>
      <c r="F134" s="85" t="s">
        <v>277</v>
      </c>
      <c r="G134" s="94">
        <v>1000000</v>
      </c>
      <c r="H134" s="92"/>
      <c r="I134" s="100"/>
      <c r="J134" s="99"/>
      <c r="K134" s="100"/>
      <c r="L134" s="100"/>
      <c r="R134" s="92"/>
      <c r="S134" s="92"/>
      <c r="T134" s="92"/>
    </row>
    <row r="135" spans="1:20" s="85" customFormat="1" ht="15.6" x14ac:dyDescent="0.75">
      <c r="A135" s="102"/>
      <c r="B135" s="103"/>
      <c r="D135" s="92"/>
      <c r="E135" s="104"/>
      <c r="G135" s="92"/>
      <c r="H135" s="99"/>
      <c r="I135" s="100"/>
      <c r="J135" s="99"/>
      <c r="K135" s="100"/>
      <c r="L135" s="100"/>
      <c r="R135" s="92"/>
      <c r="S135" s="92"/>
      <c r="T135" s="92"/>
    </row>
    <row r="136" spans="1:20" s="85" customFormat="1" ht="15.6" x14ac:dyDescent="0.75">
      <c r="A136" s="92" t="s">
        <v>345</v>
      </c>
      <c r="B136" s="93">
        <v>1.7000000000000001E-2</v>
      </c>
      <c r="C136" s="85" t="s">
        <v>277</v>
      </c>
      <c r="D136" s="94">
        <v>0</v>
      </c>
      <c r="E136" s="95">
        <v>1.7000000000000001E-2</v>
      </c>
      <c r="F136" s="85" t="s">
        <v>277</v>
      </c>
      <c r="G136" s="94">
        <v>0</v>
      </c>
      <c r="H136" s="96">
        <v>14600</v>
      </c>
      <c r="I136" s="94">
        <v>29200</v>
      </c>
      <c r="J136" s="99" t="s">
        <v>281</v>
      </c>
      <c r="K136" s="100" t="s">
        <v>281</v>
      </c>
      <c r="L136" s="101">
        <v>4000</v>
      </c>
      <c r="M136" s="97"/>
      <c r="R136" s="92"/>
      <c r="S136" s="92"/>
      <c r="T136" s="92"/>
    </row>
    <row r="137" spans="1:20" s="85" customFormat="1" ht="15.6" x14ac:dyDescent="0.75">
      <c r="A137" s="92" t="s">
        <v>346</v>
      </c>
      <c r="B137" s="93">
        <v>3.2000000000000001E-2</v>
      </c>
      <c r="C137" s="85" t="s">
        <v>277</v>
      </c>
      <c r="D137" s="94">
        <v>5500</v>
      </c>
      <c r="E137" s="95">
        <v>3.2000000000000001E-2</v>
      </c>
      <c r="F137" s="85" t="s">
        <v>277</v>
      </c>
      <c r="G137" s="94">
        <v>8000</v>
      </c>
      <c r="H137" s="99"/>
      <c r="I137" s="100"/>
      <c r="J137" s="99"/>
      <c r="K137" s="100"/>
      <c r="L137" s="100"/>
      <c r="R137" s="92"/>
      <c r="S137" s="92"/>
      <c r="T137" s="92"/>
    </row>
    <row r="138" spans="1:20" s="85" customFormat="1" ht="15.6" x14ac:dyDescent="0.75">
      <c r="A138" s="102"/>
      <c r="B138" s="93">
        <v>4.7E-2</v>
      </c>
      <c r="C138" s="85" t="s">
        <v>277</v>
      </c>
      <c r="D138" s="94">
        <v>11000</v>
      </c>
      <c r="E138" s="95">
        <v>4.7E-2</v>
      </c>
      <c r="F138" s="85" t="s">
        <v>277</v>
      </c>
      <c r="G138" s="94">
        <v>16000</v>
      </c>
      <c r="H138" s="99"/>
      <c r="I138" s="100"/>
      <c r="J138" s="99"/>
      <c r="K138" s="100"/>
      <c r="L138" s="100"/>
      <c r="R138" s="92"/>
      <c r="S138" s="92"/>
      <c r="T138" s="92"/>
    </row>
    <row r="139" spans="1:20" s="85" customFormat="1" ht="15.6" x14ac:dyDescent="0.75">
      <c r="A139" s="102"/>
      <c r="B139" s="93">
        <v>4.9000000000000002E-2</v>
      </c>
      <c r="C139" s="85" t="s">
        <v>277</v>
      </c>
      <c r="D139" s="94">
        <v>16000</v>
      </c>
      <c r="E139" s="95">
        <v>4.9000000000000002E-2</v>
      </c>
      <c r="F139" s="85" t="s">
        <v>277</v>
      </c>
      <c r="G139" s="94">
        <v>24000</v>
      </c>
      <c r="H139" s="99"/>
      <c r="I139" s="100"/>
      <c r="J139" s="99"/>
      <c r="K139" s="100"/>
      <c r="L139" s="100"/>
      <c r="R139" s="92"/>
      <c r="S139" s="92"/>
      <c r="T139" s="92"/>
    </row>
    <row r="140" spans="1:20" s="85" customFormat="1" ht="15.6" x14ac:dyDescent="0.75">
      <c r="A140" s="102"/>
      <c r="B140" s="93">
        <v>5.8999999999999997E-2</v>
      </c>
      <c r="C140" s="85" t="s">
        <v>277</v>
      </c>
      <c r="D140" s="94">
        <v>210000</v>
      </c>
      <c r="E140" s="95">
        <v>5.8999999999999997E-2</v>
      </c>
      <c r="F140" s="85" t="s">
        <v>277</v>
      </c>
      <c r="G140" s="94">
        <v>315000</v>
      </c>
      <c r="H140" s="99"/>
      <c r="I140" s="100"/>
      <c r="J140" s="99"/>
      <c r="K140" s="100"/>
      <c r="L140" s="100"/>
      <c r="R140" s="92"/>
      <c r="S140" s="92"/>
      <c r="T140" s="92"/>
    </row>
    <row r="141" spans="1:20" s="85" customFormat="1" ht="15.6" x14ac:dyDescent="0.75">
      <c r="A141" s="102"/>
      <c r="B141" s="103"/>
      <c r="D141" s="92"/>
      <c r="E141" s="104"/>
      <c r="G141" s="92"/>
      <c r="H141" s="99"/>
      <c r="I141" s="100"/>
      <c r="J141" s="99"/>
      <c r="K141" s="100"/>
      <c r="L141" s="100"/>
      <c r="R141" s="92"/>
      <c r="S141" s="92"/>
      <c r="T141" s="92"/>
    </row>
    <row r="142" spans="1:20" s="85" customFormat="1" ht="15.6" x14ac:dyDescent="0.75">
      <c r="A142" s="92" t="s">
        <v>347</v>
      </c>
      <c r="B142" s="95">
        <v>0.04</v>
      </c>
      <c r="C142" s="85" t="s">
        <v>277</v>
      </c>
      <c r="D142" s="94">
        <v>0</v>
      </c>
      <c r="E142" s="95">
        <v>0.04</v>
      </c>
      <c r="F142" s="85" t="s">
        <v>277</v>
      </c>
      <c r="G142" s="94">
        <v>0</v>
      </c>
      <c r="H142" s="96">
        <v>8000</v>
      </c>
      <c r="I142" s="94">
        <v>16050</v>
      </c>
      <c r="J142" s="99" t="s">
        <v>281</v>
      </c>
      <c r="K142" s="100" t="s">
        <v>281</v>
      </c>
      <c r="L142" s="94">
        <v>1000</v>
      </c>
      <c r="M142" s="97"/>
      <c r="R142" s="92"/>
      <c r="S142" s="92"/>
      <c r="T142" s="92"/>
    </row>
    <row r="143" spans="1:20" s="85" customFormat="1" ht="15.6" x14ac:dyDescent="0.75">
      <c r="A143" s="92" t="s">
        <v>348</v>
      </c>
      <c r="B143" s="95">
        <v>4.4999999999999998E-2</v>
      </c>
      <c r="C143" s="85" t="s">
        <v>277</v>
      </c>
      <c r="D143" s="94">
        <v>8500</v>
      </c>
      <c r="E143" s="95">
        <v>4.4999999999999998E-2</v>
      </c>
      <c r="F143" s="85" t="s">
        <v>277</v>
      </c>
      <c r="G143" s="94">
        <v>17150</v>
      </c>
      <c r="H143" s="99"/>
      <c r="I143" s="100"/>
      <c r="J143" s="99"/>
      <c r="K143" s="100"/>
      <c r="L143" s="100"/>
      <c r="R143" s="92"/>
      <c r="S143" s="92"/>
      <c r="T143" s="92"/>
    </row>
    <row r="144" spans="1:20" s="85" customFormat="1" ht="15.6" x14ac:dyDescent="0.75">
      <c r="A144" s="102"/>
      <c r="B144" s="95">
        <v>5.2499999999999998E-2</v>
      </c>
      <c r="C144" s="85" t="s">
        <v>277</v>
      </c>
      <c r="D144" s="94">
        <v>11700</v>
      </c>
      <c r="E144" s="95">
        <v>5.2499999999999998E-2</v>
      </c>
      <c r="F144" s="85" t="s">
        <v>277</v>
      </c>
      <c r="G144" s="94">
        <v>23600</v>
      </c>
      <c r="H144" s="99"/>
      <c r="I144" s="100"/>
      <c r="J144" s="99"/>
      <c r="K144" s="100"/>
      <c r="L144" s="100"/>
      <c r="R144" s="92"/>
      <c r="S144" s="92"/>
      <c r="T144" s="92"/>
    </row>
    <row r="145" spans="1:20" s="85" customFormat="1" ht="15.6" x14ac:dyDescent="0.75">
      <c r="A145" s="102"/>
      <c r="B145" s="95">
        <v>5.5E-2</v>
      </c>
      <c r="C145" s="85" t="s">
        <v>277</v>
      </c>
      <c r="D145" s="94">
        <v>13900</v>
      </c>
      <c r="E145" s="95">
        <v>5.5E-2</v>
      </c>
      <c r="F145" s="85" t="s">
        <v>277</v>
      </c>
      <c r="G145" s="94">
        <v>27900</v>
      </c>
      <c r="H145" s="99"/>
      <c r="I145" s="100"/>
      <c r="J145" s="99"/>
      <c r="K145" s="100"/>
      <c r="L145" s="100"/>
      <c r="R145" s="92"/>
      <c r="S145" s="92"/>
      <c r="T145" s="92"/>
    </row>
    <row r="146" spans="1:20" s="85" customFormat="1" ht="15.6" x14ac:dyDescent="0.75">
      <c r="A146" s="102"/>
      <c r="B146" s="95">
        <v>0.06</v>
      </c>
      <c r="C146" s="85" t="s">
        <v>277</v>
      </c>
      <c r="D146" s="94">
        <v>80650</v>
      </c>
      <c r="E146" s="95">
        <v>0.06</v>
      </c>
      <c r="F146" s="85" t="s">
        <v>277</v>
      </c>
      <c r="G146" s="94">
        <v>161550</v>
      </c>
      <c r="H146" s="99"/>
      <c r="I146" s="100"/>
      <c r="J146" s="99"/>
      <c r="K146" s="100"/>
      <c r="L146" s="100"/>
      <c r="R146" s="92"/>
      <c r="S146" s="92"/>
      <c r="T146" s="92"/>
    </row>
    <row r="147" spans="1:20" s="85" customFormat="1" ht="15.6" x14ac:dyDescent="0.75">
      <c r="A147" s="102"/>
      <c r="B147" s="95">
        <v>6.8500000000000005E-2</v>
      </c>
      <c r="C147" s="85" t="s">
        <v>277</v>
      </c>
      <c r="D147" s="94">
        <v>215400</v>
      </c>
      <c r="E147" s="95">
        <v>6.8500000000000005E-2</v>
      </c>
      <c r="F147" s="85" t="s">
        <v>277</v>
      </c>
      <c r="G147" s="94">
        <v>323200</v>
      </c>
      <c r="H147" s="99"/>
      <c r="I147" s="100"/>
      <c r="J147" s="99"/>
      <c r="K147" s="100"/>
      <c r="L147" s="100"/>
      <c r="R147" s="92"/>
      <c r="S147" s="92"/>
      <c r="T147" s="92"/>
    </row>
    <row r="148" spans="1:20" s="85" customFormat="1" ht="15.6" x14ac:dyDescent="0.75">
      <c r="A148" s="102"/>
      <c r="B148" s="95">
        <v>9.6500000000000002E-2</v>
      </c>
      <c r="C148" s="85" t="s">
        <v>277</v>
      </c>
      <c r="D148" s="94">
        <v>1077550</v>
      </c>
      <c r="E148" s="95">
        <v>9.6500000000000002E-2</v>
      </c>
      <c r="F148" s="85" t="s">
        <v>277</v>
      </c>
      <c r="G148" s="94">
        <v>2155350</v>
      </c>
      <c r="H148" s="99"/>
      <c r="I148" s="100"/>
      <c r="J148" s="99"/>
      <c r="K148" s="100"/>
      <c r="L148" s="100"/>
      <c r="R148" s="92"/>
      <c r="S148" s="92"/>
      <c r="T148" s="92"/>
    </row>
    <row r="149" spans="1:20" s="85" customFormat="1" ht="15.6" x14ac:dyDescent="0.75">
      <c r="A149" s="102"/>
      <c r="B149" s="95">
        <v>0.10299999999999999</v>
      </c>
      <c r="C149" s="118" t="s">
        <v>277</v>
      </c>
      <c r="D149" s="94">
        <v>5000000</v>
      </c>
      <c r="E149" s="95">
        <v>0.10299999999999999</v>
      </c>
      <c r="F149" s="85" t="s">
        <v>277</v>
      </c>
      <c r="G149" s="94">
        <v>5000000</v>
      </c>
      <c r="H149" s="99"/>
      <c r="I149" s="100"/>
      <c r="J149" s="99"/>
      <c r="K149" s="100"/>
      <c r="L149" s="100"/>
      <c r="R149" s="92"/>
      <c r="S149" s="92"/>
      <c r="T149" s="92"/>
    </row>
    <row r="150" spans="1:20" s="85" customFormat="1" ht="15.6" x14ac:dyDescent="0.75">
      <c r="A150" s="102"/>
      <c r="B150" s="95">
        <v>0.109</v>
      </c>
      <c r="C150" s="85" t="s">
        <v>277</v>
      </c>
      <c r="D150" s="94">
        <v>25000000</v>
      </c>
      <c r="E150" s="95">
        <v>0.109</v>
      </c>
      <c r="F150" s="85" t="s">
        <v>277</v>
      </c>
      <c r="G150" s="94">
        <v>25000000</v>
      </c>
      <c r="H150" s="99"/>
      <c r="I150" s="100"/>
      <c r="J150" s="99"/>
      <c r="K150" s="100"/>
      <c r="L150" s="100"/>
      <c r="R150" s="92"/>
      <c r="S150" s="92"/>
      <c r="T150" s="92"/>
    </row>
    <row r="151" spans="1:20" s="85" customFormat="1" ht="15.6" x14ac:dyDescent="0.75">
      <c r="A151" s="102"/>
      <c r="B151" s="122"/>
      <c r="D151" s="94"/>
      <c r="E151" s="95"/>
      <c r="G151" s="94"/>
      <c r="H151" s="99"/>
      <c r="I151" s="100"/>
      <c r="J151" s="99"/>
      <c r="K151" s="100"/>
      <c r="L151" s="100"/>
      <c r="R151" s="92"/>
      <c r="S151" s="92"/>
      <c r="T151" s="92"/>
    </row>
    <row r="152" spans="1:20" s="85" customFormat="1" ht="15.6" x14ac:dyDescent="0.75">
      <c r="A152" s="92" t="s">
        <v>349</v>
      </c>
      <c r="B152" s="95">
        <v>4.4999999999999998E-2</v>
      </c>
      <c r="C152" s="85" t="s">
        <v>277</v>
      </c>
      <c r="D152" s="94">
        <v>0</v>
      </c>
      <c r="E152" s="95">
        <v>4.4999999999999998E-2</v>
      </c>
      <c r="F152" s="85" t="s">
        <v>277</v>
      </c>
      <c r="G152" s="94">
        <v>0</v>
      </c>
      <c r="H152" s="96">
        <v>12750</v>
      </c>
      <c r="I152" s="96">
        <v>25500</v>
      </c>
      <c r="J152" s="99" t="s">
        <v>281</v>
      </c>
      <c r="K152" s="100" t="s">
        <v>281</v>
      </c>
      <c r="L152" s="100" t="s">
        <v>281</v>
      </c>
      <c r="M152" s="97"/>
      <c r="R152" s="92"/>
      <c r="S152" s="92"/>
      <c r="T152" s="92"/>
    </row>
    <row r="153" spans="1:20" s="85" customFormat="1" ht="15.6" x14ac:dyDescent="0.75">
      <c r="A153" s="102"/>
      <c r="B153" s="103"/>
      <c r="D153" s="92"/>
      <c r="E153" s="104"/>
      <c r="G153" s="92"/>
      <c r="H153" s="99"/>
      <c r="I153" s="100"/>
      <c r="J153" s="99"/>
      <c r="K153" s="100"/>
      <c r="L153" s="100"/>
      <c r="R153" s="92"/>
      <c r="S153" s="92"/>
      <c r="T153" s="92"/>
    </row>
    <row r="154" spans="1:20" s="85" customFormat="1" ht="15.6" x14ac:dyDescent="0.75">
      <c r="A154" s="92" t="s">
        <v>350</v>
      </c>
      <c r="B154" s="93">
        <v>1.95E-2</v>
      </c>
      <c r="C154" s="85" t="s">
        <v>277</v>
      </c>
      <c r="D154" s="94">
        <v>44725</v>
      </c>
      <c r="E154" s="93">
        <v>1.95E-2</v>
      </c>
      <c r="F154" s="85" t="s">
        <v>277</v>
      </c>
      <c r="G154" s="94">
        <v>74750</v>
      </c>
      <c r="H154" s="96">
        <v>14600</v>
      </c>
      <c r="I154" s="94">
        <v>29200</v>
      </c>
      <c r="J154" s="99" t="s">
        <v>281</v>
      </c>
      <c r="K154" s="100" t="s">
        <v>281</v>
      </c>
      <c r="L154" s="100" t="s">
        <v>281</v>
      </c>
      <c r="M154" s="97"/>
      <c r="N154" s="106"/>
      <c r="R154" s="92"/>
      <c r="S154" s="92"/>
      <c r="T154" s="92"/>
    </row>
    <row r="155" spans="1:20" s="85" customFormat="1" ht="15.6" x14ac:dyDescent="0.75">
      <c r="A155" s="92" t="s">
        <v>351</v>
      </c>
      <c r="B155" s="93">
        <v>2.5000000000000001E-2</v>
      </c>
      <c r="C155" s="85" t="s">
        <v>277</v>
      </c>
      <c r="D155" s="94">
        <v>225975</v>
      </c>
      <c r="E155" s="93">
        <v>2.5000000000000001E-2</v>
      </c>
      <c r="F155" s="85" t="s">
        <v>277</v>
      </c>
      <c r="G155" s="94">
        <v>275100</v>
      </c>
      <c r="H155" s="99"/>
      <c r="I155" s="100"/>
      <c r="J155" s="99"/>
      <c r="K155" s="100"/>
      <c r="L155" s="100"/>
      <c r="R155" s="92"/>
      <c r="S155" s="92"/>
      <c r="T155" s="92"/>
    </row>
    <row r="156" spans="1:20" s="85" customFormat="1" ht="15.6" x14ac:dyDescent="0.75">
      <c r="A156" s="102"/>
      <c r="B156" s="105"/>
      <c r="D156" s="92"/>
      <c r="E156" s="104"/>
      <c r="G156" s="92"/>
      <c r="H156" s="99"/>
      <c r="I156" s="100"/>
      <c r="J156" s="99"/>
      <c r="K156" s="100"/>
      <c r="L156" s="100"/>
      <c r="R156" s="92"/>
      <c r="S156" s="92"/>
      <c r="T156" s="92"/>
    </row>
    <row r="157" spans="1:20" s="85" customFormat="1" ht="15.6" x14ac:dyDescent="0.75">
      <c r="A157" s="92" t="s">
        <v>352</v>
      </c>
      <c r="B157" s="120">
        <v>2.75E-2</v>
      </c>
      <c r="C157" s="85" t="s">
        <v>277</v>
      </c>
      <c r="D157" s="94">
        <v>26050</v>
      </c>
      <c r="E157" s="120">
        <v>2.75E-2</v>
      </c>
      <c r="F157" s="85" t="s">
        <v>277</v>
      </c>
      <c r="G157" s="94">
        <v>26050</v>
      </c>
      <c r="H157" s="99" t="s">
        <v>281</v>
      </c>
      <c r="I157" s="100" t="s">
        <v>281</v>
      </c>
      <c r="J157" s="96">
        <v>2400</v>
      </c>
      <c r="K157" s="96">
        <v>4800</v>
      </c>
      <c r="L157" s="96">
        <v>2500</v>
      </c>
      <c r="M157" s="97"/>
      <c r="R157" s="92"/>
      <c r="S157" s="92"/>
      <c r="T157" s="92"/>
    </row>
    <row r="158" spans="1:20" s="85" customFormat="1" ht="15.6" x14ac:dyDescent="0.75">
      <c r="A158" s="92" t="s">
        <v>353</v>
      </c>
      <c r="B158" s="120">
        <v>3.5000000000000003E-2</v>
      </c>
      <c r="C158" s="85" t="s">
        <v>277</v>
      </c>
      <c r="D158" s="94">
        <v>92150</v>
      </c>
      <c r="E158" s="120">
        <v>3.5000000000000003E-2</v>
      </c>
      <c r="F158" s="85" t="s">
        <v>277</v>
      </c>
      <c r="G158" s="94">
        <v>92150</v>
      </c>
      <c r="H158" s="99"/>
      <c r="I158" s="100"/>
      <c r="J158" s="104"/>
      <c r="K158" s="100"/>
      <c r="L158" s="100"/>
      <c r="R158" s="92"/>
      <c r="S158" s="92"/>
      <c r="T158" s="92"/>
    </row>
    <row r="159" spans="1:20" s="85" customFormat="1" ht="15.6" x14ac:dyDescent="0.75">
      <c r="A159" s="102"/>
      <c r="B159" s="105"/>
      <c r="D159" s="92"/>
      <c r="E159" s="104"/>
      <c r="G159" s="92"/>
      <c r="H159" s="99"/>
      <c r="I159" s="100"/>
      <c r="J159" s="99"/>
      <c r="K159" s="100"/>
      <c r="L159" s="100"/>
      <c r="R159" s="92"/>
      <c r="S159" s="92"/>
      <c r="T159" s="92"/>
    </row>
    <row r="160" spans="1:20" s="85" customFormat="1" ht="15.6" x14ac:dyDescent="0.75">
      <c r="A160" s="92" t="s">
        <v>354</v>
      </c>
      <c r="B160" s="95">
        <v>2.5000000000000001E-3</v>
      </c>
      <c r="C160" s="85" t="s">
        <v>277</v>
      </c>
      <c r="D160" s="94">
        <v>0</v>
      </c>
      <c r="E160" s="95">
        <v>2.5000000000000001E-3</v>
      </c>
      <c r="F160" s="85" t="s">
        <v>277</v>
      </c>
      <c r="G160" s="94">
        <v>0</v>
      </c>
      <c r="H160" s="96">
        <v>6350</v>
      </c>
      <c r="I160" s="94">
        <v>12700</v>
      </c>
      <c r="J160" s="96">
        <v>1000</v>
      </c>
      <c r="K160" s="94">
        <v>2000</v>
      </c>
      <c r="L160" s="94">
        <v>1000</v>
      </c>
      <c r="R160" s="92"/>
      <c r="S160" s="92"/>
      <c r="T160" s="92"/>
    </row>
    <row r="161" spans="1:20" s="85" customFormat="1" ht="15.6" x14ac:dyDescent="0.75">
      <c r="A161" s="92" t="s">
        <v>355</v>
      </c>
      <c r="B161" s="95">
        <v>7.4999999999999997E-3</v>
      </c>
      <c r="C161" s="85" t="s">
        <v>277</v>
      </c>
      <c r="D161" s="94">
        <v>1000</v>
      </c>
      <c r="E161" s="95">
        <v>7.4999999999999997E-3</v>
      </c>
      <c r="F161" s="85" t="s">
        <v>277</v>
      </c>
      <c r="G161" s="94">
        <v>2000</v>
      </c>
      <c r="H161" s="99"/>
      <c r="I161" s="100"/>
      <c r="J161" s="99"/>
      <c r="K161" s="100"/>
      <c r="L161" s="100"/>
      <c r="R161" s="92"/>
      <c r="S161" s="92"/>
      <c r="T161" s="92"/>
    </row>
    <row r="162" spans="1:20" s="85" customFormat="1" ht="15.6" x14ac:dyDescent="0.75">
      <c r="A162" s="102"/>
      <c r="B162" s="95">
        <v>1.7500000000000002E-2</v>
      </c>
      <c r="C162" s="85" t="s">
        <v>277</v>
      </c>
      <c r="D162" s="94">
        <v>2500</v>
      </c>
      <c r="E162" s="95">
        <v>1.7500000000000002E-2</v>
      </c>
      <c r="F162" s="85" t="s">
        <v>277</v>
      </c>
      <c r="G162" s="94">
        <v>5000</v>
      </c>
      <c r="H162" s="99"/>
      <c r="I162" s="100"/>
      <c r="J162" s="99"/>
      <c r="K162" s="100"/>
      <c r="L162" s="100"/>
      <c r="R162" s="92"/>
      <c r="S162" s="92"/>
      <c r="T162" s="92"/>
    </row>
    <row r="163" spans="1:20" s="85" customFormat="1" ht="15.6" x14ac:dyDescent="0.75">
      <c r="A163" s="102"/>
      <c r="B163" s="95">
        <v>2.75E-2</v>
      </c>
      <c r="C163" s="85" t="s">
        <v>277</v>
      </c>
      <c r="D163" s="94">
        <v>3750</v>
      </c>
      <c r="E163" s="95">
        <v>2.75E-2</v>
      </c>
      <c r="F163" s="85" t="s">
        <v>277</v>
      </c>
      <c r="G163" s="94">
        <v>7500</v>
      </c>
      <c r="H163" s="99"/>
      <c r="I163" s="100"/>
      <c r="J163" s="99"/>
      <c r="K163" s="100"/>
      <c r="L163" s="100"/>
      <c r="R163" s="92"/>
      <c r="S163" s="92"/>
      <c r="T163" s="92"/>
    </row>
    <row r="164" spans="1:20" s="85" customFormat="1" ht="15.6" x14ac:dyDescent="0.75">
      <c r="A164" s="102"/>
      <c r="B164" s="95">
        <v>3.7499999999999999E-2</v>
      </c>
      <c r="C164" s="85" t="s">
        <v>277</v>
      </c>
      <c r="D164" s="94">
        <v>4900</v>
      </c>
      <c r="E164" s="95">
        <v>3.7499999999999999E-2</v>
      </c>
      <c r="F164" s="85" t="s">
        <v>277</v>
      </c>
      <c r="G164" s="94">
        <v>9800</v>
      </c>
      <c r="H164" s="99"/>
      <c r="I164" s="100"/>
      <c r="J164" s="99"/>
      <c r="K164" s="100"/>
      <c r="L164" s="100"/>
      <c r="R164" s="92"/>
      <c r="S164" s="92"/>
      <c r="T164" s="92"/>
    </row>
    <row r="165" spans="1:20" s="85" customFormat="1" ht="15.6" x14ac:dyDescent="0.75">
      <c r="A165" s="123"/>
      <c r="B165" s="95">
        <v>4.7500000000000001E-2</v>
      </c>
      <c r="C165" s="85" t="s">
        <v>277</v>
      </c>
      <c r="D165" s="94">
        <v>7200</v>
      </c>
      <c r="E165" s="95">
        <v>4.7500000000000001E-2</v>
      </c>
      <c r="F165" s="85" t="s">
        <v>277</v>
      </c>
      <c r="G165" s="94">
        <v>12200</v>
      </c>
      <c r="H165" s="99"/>
      <c r="I165" s="100"/>
      <c r="J165" s="99"/>
      <c r="K165" s="100"/>
      <c r="L165" s="100"/>
      <c r="R165" s="92"/>
      <c r="S165" s="92"/>
      <c r="T165" s="92"/>
    </row>
    <row r="166" spans="1:20" s="85" customFormat="1" ht="15.6" x14ac:dyDescent="0.75">
      <c r="A166" s="102"/>
      <c r="B166" s="103"/>
      <c r="D166" s="92"/>
      <c r="E166" s="104"/>
      <c r="G166" s="92"/>
      <c r="H166" s="99"/>
      <c r="I166" s="100"/>
      <c r="J166" s="99"/>
      <c r="K166" s="100"/>
      <c r="L166" s="100"/>
      <c r="R166" s="92"/>
      <c r="S166" s="92"/>
      <c r="T166" s="92"/>
    </row>
    <row r="167" spans="1:20" s="85" customFormat="1" ht="15.6" x14ac:dyDescent="0.75">
      <c r="A167" s="92" t="s">
        <v>356</v>
      </c>
      <c r="B167" s="93">
        <v>4.7500000000000001E-2</v>
      </c>
      <c r="C167" s="85" t="s">
        <v>277</v>
      </c>
      <c r="D167" s="94">
        <v>0</v>
      </c>
      <c r="E167" s="95">
        <v>4.7500000000000001E-2</v>
      </c>
      <c r="F167" s="85" t="s">
        <v>277</v>
      </c>
      <c r="G167" s="94">
        <v>0</v>
      </c>
      <c r="H167" s="96">
        <v>2745</v>
      </c>
      <c r="I167" s="94">
        <v>5495</v>
      </c>
      <c r="J167" s="100" t="s">
        <v>357</v>
      </c>
      <c r="K167" s="100" t="s">
        <v>358</v>
      </c>
      <c r="L167" s="100" t="s">
        <v>357</v>
      </c>
      <c r="M167" s="97"/>
      <c r="R167" s="92"/>
      <c r="S167" s="92"/>
      <c r="T167" s="92"/>
    </row>
    <row r="168" spans="1:20" s="85" customFormat="1" ht="15.6" x14ac:dyDescent="0.75">
      <c r="A168" s="92" t="s">
        <v>359</v>
      </c>
      <c r="B168" s="93">
        <v>6.7500000000000004E-2</v>
      </c>
      <c r="C168" s="85" t="s">
        <v>277</v>
      </c>
      <c r="D168" s="94">
        <v>4300</v>
      </c>
      <c r="E168" s="95">
        <v>6.7500000000000004E-2</v>
      </c>
      <c r="F168" s="85" t="s">
        <v>277</v>
      </c>
      <c r="G168" s="94">
        <v>8600</v>
      </c>
      <c r="H168" s="99"/>
      <c r="I168" s="100"/>
      <c r="J168" s="92"/>
      <c r="K168" s="92"/>
      <c r="L168" s="92"/>
      <c r="R168" s="92"/>
      <c r="S168" s="92"/>
      <c r="T168" s="92"/>
    </row>
    <row r="169" spans="1:20" s="85" customFormat="1" ht="15.6" x14ac:dyDescent="0.75">
      <c r="A169" s="115"/>
      <c r="B169" s="93">
        <v>8.7499999999999994E-2</v>
      </c>
      <c r="C169" s="85" t="s">
        <v>277</v>
      </c>
      <c r="D169" s="94">
        <v>10750</v>
      </c>
      <c r="E169" s="95">
        <v>8.7499999999999994E-2</v>
      </c>
      <c r="F169" s="85" t="s">
        <v>277</v>
      </c>
      <c r="G169" s="94">
        <v>21500</v>
      </c>
      <c r="H169" s="99"/>
      <c r="I169" s="100"/>
      <c r="J169" s="99"/>
      <c r="K169" s="100"/>
      <c r="L169" s="100"/>
      <c r="R169" s="92"/>
      <c r="S169" s="92"/>
      <c r="T169" s="92"/>
    </row>
    <row r="170" spans="1:20" s="85" customFormat="1" ht="15.6" x14ac:dyDescent="0.75">
      <c r="A170" s="102"/>
      <c r="B170" s="93">
        <v>9.9000000000000005E-2</v>
      </c>
      <c r="C170" s="85" t="s">
        <v>277</v>
      </c>
      <c r="D170" s="94">
        <v>125000</v>
      </c>
      <c r="E170" s="95">
        <v>9.9000000000000005E-2</v>
      </c>
      <c r="F170" s="85" t="s">
        <v>277</v>
      </c>
      <c r="G170" s="94">
        <v>250000</v>
      </c>
      <c r="H170" s="99"/>
      <c r="I170" s="100"/>
      <c r="J170" s="99"/>
      <c r="K170" s="100"/>
      <c r="L170" s="100"/>
      <c r="R170" s="92"/>
      <c r="S170" s="92"/>
      <c r="T170" s="92"/>
    </row>
    <row r="171" spans="1:20" s="85" customFormat="1" ht="15.6" x14ac:dyDescent="0.75">
      <c r="A171" s="102"/>
      <c r="B171" s="103"/>
      <c r="D171" s="92"/>
      <c r="E171" s="104"/>
      <c r="G171" s="92"/>
      <c r="H171" s="99"/>
      <c r="I171" s="100"/>
      <c r="J171" s="99"/>
      <c r="K171" s="100"/>
      <c r="L171" s="100"/>
      <c r="R171" s="92"/>
      <c r="S171" s="92"/>
      <c r="T171" s="92"/>
    </row>
    <row r="172" spans="1:20" s="85" customFormat="1" ht="15.6" x14ac:dyDescent="0.75">
      <c r="A172" s="92" t="s">
        <v>360</v>
      </c>
      <c r="B172" s="95">
        <v>3.0700000000000002E-2</v>
      </c>
      <c r="C172" s="92" t="s">
        <v>277</v>
      </c>
      <c r="D172" s="94">
        <v>0</v>
      </c>
      <c r="E172" s="95">
        <v>3.0700000000000002E-2</v>
      </c>
      <c r="F172" s="92" t="s">
        <v>277</v>
      </c>
      <c r="G172" s="94">
        <v>0</v>
      </c>
      <c r="H172" s="99" t="s">
        <v>281</v>
      </c>
      <c r="I172" s="100" t="s">
        <v>281</v>
      </c>
      <c r="J172" s="99" t="s">
        <v>281</v>
      </c>
      <c r="K172" s="100" t="s">
        <v>281</v>
      </c>
      <c r="L172" s="100" t="s">
        <v>281</v>
      </c>
      <c r="M172" s="97"/>
      <c r="R172" s="92"/>
      <c r="S172" s="92"/>
      <c r="T172" s="92"/>
    </row>
    <row r="173" spans="1:20" s="85" customFormat="1" ht="15.6" x14ac:dyDescent="0.75">
      <c r="A173" s="102"/>
      <c r="B173" s="103"/>
      <c r="D173" s="92"/>
      <c r="E173" s="104"/>
      <c r="G173" s="92"/>
      <c r="H173" s="99"/>
      <c r="I173" s="100"/>
      <c r="J173" s="99"/>
      <c r="K173" s="100"/>
      <c r="L173" s="100"/>
      <c r="R173" s="92"/>
      <c r="S173" s="92"/>
      <c r="T173" s="92"/>
    </row>
    <row r="174" spans="1:20" s="85" customFormat="1" ht="15.6" x14ac:dyDescent="0.75">
      <c r="A174" s="92" t="s">
        <v>361</v>
      </c>
      <c r="B174" s="93">
        <v>3.7499999999999999E-2</v>
      </c>
      <c r="C174" s="85" t="s">
        <v>277</v>
      </c>
      <c r="D174" s="94">
        <v>0</v>
      </c>
      <c r="E174" s="95">
        <v>3.7499999999999999E-2</v>
      </c>
      <c r="F174" s="85" t="s">
        <v>277</v>
      </c>
      <c r="G174" s="94">
        <v>0</v>
      </c>
      <c r="H174" s="96">
        <v>10550</v>
      </c>
      <c r="I174" s="94">
        <v>21150</v>
      </c>
      <c r="J174" s="96">
        <v>4950</v>
      </c>
      <c r="K174" s="94">
        <v>9900</v>
      </c>
      <c r="L174" s="96">
        <v>4950</v>
      </c>
      <c r="M174" s="97"/>
      <c r="R174" s="92"/>
      <c r="S174" s="92"/>
      <c r="T174" s="92"/>
    </row>
    <row r="175" spans="1:20" s="85" customFormat="1" ht="15.6" x14ac:dyDescent="0.75">
      <c r="A175" s="92" t="s">
        <v>362</v>
      </c>
      <c r="B175" s="93">
        <v>4.7500000000000001E-2</v>
      </c>
      <c r="C175" s="85" t="s">
        <v>277</v>
      </c>
      <c r="D175" s="94">
        <v>77450</v>
      </c>
      <c r="E175" s="95">
        <v>4.7500000000000001E-2</v>
      </c>
      <c r="F175" s="85" t="s">
        <v>277</v>
      </c>
      <c r="G175" s="94">
        <v>77450</v>
      </c>
      <c r="H175" s="99"/>
      <c r="I175" s="100"/>
      <c r="J175" s="99"/>
      <c r="K175" s="100"/>
      <c r="L175" s="100"/>
      <c r="R175" s="92"/>
      <c r="S175" s="92"/>
      <c r="T175" s="92"/>
    </row>
    <row r="176" spans="1:20" s="85" customFormat="1" ht="15.6" x14ac:dyDescent="0.75">
      <c r="A176" s="102"/>
      <c r="B176" s="93">
        <v>5.9900000000000002E-2</v>
      </c>
      <c r="C176" s="85" t="s">
        <v>277</v>
      </c>
      <c r="D176" s="94">
        <v>176050</v>
      </c>
      <c r="E176" s="95">
        <v>5.9900000000000002E-2</v>
      </c>
      <c r="F176" s="85" t="s">
        <v>277</v>
      </c>
      <c r="G176" s="94">
        <v>176050</v>
      </c>
      <c r="H176" s="99"/>
      <c r="I176" s="100"/>
      <c r="J176" s="99"/>
      <c r="K176" s="100"/>
      <c r="L176" s="100"/>
      <c r="R176" s="92"/>
      <c r="S176" s="92"/>
      <c r="T176" s="92"/>
    </row>
    <row r="177" spans="1:20" s="85" customFormat="1" ht="15.6" x14ac:dyDescent="0.75">
      <c r="A177" s="102"/>
      <c r="B177" s="103"/>
      <c r="D177" s="92"/>
      <c r="E177" s="104"/>
      <c r="G177" s="92"/>
      <c r="H177" s="99"/>
      <c r="I177" s="100"/>
      <c r="J177" s="99"/>
      <c r="K177" s="100"/>
      <c r="L177" s="100"/>
      <c r="R177" s="92"/>
      <c r="S177" s="92"/>
      <c r="T177" s="92"/>
    </row>
    <row r="178" spans="1:20" s="85" customFormat="1" ht="15.6" x14ac:dyDescent="0.75">
      <c r="A178" s="92" t="s">
        <v>363</v>
      </c>
      <c r="B178" s="95">
        <v>0</v>
      </c>
      <c r="C178" s="92" t="s">
        <v>277</v>
      </c>
      <c r="D178" s="94">
        <v>0</v>
      </c>
      <c r="E178" s="95">
        <v>0</v>
      </c>
      <c r="F178" s="92" t="s">
        <v>277</v>
      </c>
      <c r="G178" s="94">
        <v>0</v>
      </c>
      <c r="H178" s="96">
        <v>14600</v>
      </c>
      <c r="I178" s="94">
        <v>29200</v>
      </c>
      <c r="J178" s="96" t="s">
        <v>281</v>
      </c>
      <c r="K178" s="94" t="s">
        <v>281</v>
      </c>
      <c r="L178" s="94" t="s">
        <v>364</v>
      </c>
      <c r="M178" s="97"/>
      <c r="N178" s="124"/>
      <c r="P178" s="85" t="s">
        <v>365</v>
      </c>
      <c r="R178" s="92"/>
      <c r="S178" s="92"/>
      <c r="T178" s="92"/>
    </row>
    <row r="179" spans="1:20" s="85" customFormat="1" ht="15.6" x14ac:dyDescent="0.75">
      <c r="A179" s="92" t="s">
        <v>366</v>
      </c>
      <c r="B179" s="95">
        <v>0.03</v>
      </c>
      <c r="C179" s="92" t="s">
        <v>277</v>
      </c>
      <c r="D179" s="94">
        <v>3460</v>
      </c>
      <c r="E179" s="95">
        <v>0.03</v>
      </c>
      <c r="F179" s="92" t="s">
        <v>277</v>
      </c>
      <c r="G179" s="94">
        <v>3460</v>
      </c>
      <c r="H179" s="99"/>
      <c r="I179" s="100"/>
      <c r="J179" s="99"/>
      <c r="K179" s="100"/>
      <c r="L179" s="100"/>
      <c r="R179" s="92"/>
      <c r="S179" s="92"/>
      <c r="T179" s="92"/>
    </row>
    <row r="180" spans="1:20" s="85" customFormat="1" ht="15.6" x14ac:dyDescent="0.75">
      <c r="A180" s="115"/>
      <c r="B180" s="95">
        <v>6.4000000000000001E-2</v>
      </c>
      <c r="C180" s="92" t="s">
        <v>277</v>
      </c>
      <c r="D180" s="94">
        <v>17330</v>
      </c>
      <c r="E180" s="95">
        <v>6.4000000000000001E-2</v>
      </c>
      <c r="F180" s="92" t="s">
        <v>277</v>
      </c>
      <c r="G180" s="94">
        <v>17330</v>
      </c>
      <c r="H180" s="99"/>
      <c r="I180" s="100"/>
      <c r="J180" s="99"/>
      <c r="K180" s="100"/>
      <c r="L180" s="100"/>
      <c r="R180" s="92"/>
      <c r="S180" s="92"/>
      <c r="T180" s="92"/>
    </row>
    <row r="181" spans="1:20" s="85" customFormat="1" ht="15.6" x14ac:dyDescent="0.75">
      <c r="A181" s="102"/>
      <c r="B181" s="95"/>
      <c r="C181" s="92"/>
      <c r="D181" s="94"/>
      <c r="E181" s="95"/>
      <c r="F181" s="92"/>
      <c r="G181" s="94"/>
      <c r="H181" s="99"/>
      <c r="I181" s="100"/>
      <c r="J181" s="99"/>
      <c r="K181" s="100"/>
      <c r="L181" s="100"/>
      <c r="R181" s="92"/>
      <c r="S181" s="92"/>
      <c r="T181" s="92"/>
    </row>
    <row r="182" spans="1:20" s="85" customFormat="1" ht="15.6" x14ac:dyDescent="0.75">
      <c r="A182" s="92" t="s">
        <v>367</v>
      </c>
      <c r="B182" s="280" t="s">
        <v>280</v>
      </c>
      <c r="C182" s="281"/>
      <c r="D182" s="281"/>
      <c r="E182" s="280" t="s">
        <v>280</v>
      </c>
      <c r="F182" s="281"/>
      <c r="G182" s="281"/>
      <c r="H182" s="99" t="s">
        <v>281</v>
      </c>
      <c r="I182" s="100" t="s">
        <v>281</v>
      </c>
      <c r="J182" s="99" t="s">
        <v>281</v>
      </c>
      <c r="K182" s="100" t="s">
        <v>281</v>
      </c>
      <c r="L182" s="100" t="s">
        <v>281</v>
      </c>
      <c r="M182" s="97"/>
      <c r="R182" s="92"/>
      <c r="S182" s="92"/>
      <c r="T182" s="92"/>
    </row>
    <row r="183" spans="1:20" s="85" customFormat="1" ht="15.6" x14ac:dyDescent="0.75">
      <c r="A183" s="102"/>
      <c r="B183" s="103"/>
      <c r="D183" s="92"/>
      <c r="E183" s="104"/>
      <c r="G183" s="92"/>
      <c r="H183" s="99"/>
      <c r="I183" s="100"/>
      <c r="J183" s="99"/>
      <c r="K183" s="100"/>
      <c r="L183" s="100"/>
      <c r="R183" s="92"/>
      <c r="S183" s="92"/>
      <c r="T183" s="92"/>
    </row>
    <row r="184" spans="1:20" s="85" customFormat="1" ht="15.6" x14ac:dyDescent="0.75">
      <c r="A184" s="92" t="s">
        <v>368</v>
      </c>
      <c r="B184" s="284" t="s">
        <v>280</v>
      </c>
      <c r="C184" s="285"/>
      <c r="D184" s="286"/>
      <c r="E184" s="284" t="s">
        <v>280</v>
      </c>
      <c r="F184" s="285"/>
      <c r="G184" s="286"/>
      <c r="H184" s="99" t="s">
        <v>281</v>
      </c>
      <c r="I184" s="100" t="s">
        <v>281</v>
      </c>
      <c r="J184" s="96" t="s">
        <v>281</v>
      </c>
      <c r="K184" s="94" t="s">
        <v>281</v>
      </c>
      <c r="L184" s="100" t="s">
        <v>281</v>
      </c>
      <c r="M184" s="97"/>
      <c r="R184" s="92"/>
      <c r="S184" s="92"/>
      <c r="T184" s="92"/>
    </row>
    <row r="185" spans="1:20" s="85" customFormat="1" ht="15.6" x14ac:dyDescent="0.75">
      <c r="A185" s="102"/>
      <c r="B185" s="103"/>
      <c r="D185" s="92"/>
      <c r="E185" s="104"/>
      <c r="G185" s="92"/>
      <c r="H185" s="99"/>
      <c r="I185" s="100"/>
      <c r="J185" s="99"/>
      <c r="K185" s="100"/>
      <c r="L185" s="100"/>
      <c r="R185" s="92"/>
      <c r="S185" s="92"/>
      <c r="T185" s="92"/>
    </row>
    <row r="186" spans="1:20" s="85" customFormat="1" ht="15.6" x14ac:dyDescent="0.75">
      <c r="A186" s="92" t="s">
        <v>369</v>
      </c>
      <c r="B186" s="280" t="s">
        <v>280</v>
      </c>
      <c r="C186" s="281"/>
      <c r="D186" s="281"/>
      <c r="E186" s="280" t="s">
        <v>280</v>
      </c>
      <c r="F186" s="281"/>
      <c r="G186" s="281"/>
      <c r="H186" s="99" t="s">
        <v>281</v>
      </c>
      <c r="I186" s="100" t="s">
        <v>281</v>
      </c>
      <c r="J186" s="99" t="s">
        <v>281</v>
      </c>
      <c r="K186" s="100" t="s">
        <v>281</v>
      </c>
      <c r="L186" s="100" t="s">
        <v>281</v>
      </c>
      <c r="M186" s="97"/>
      <c r="R186" s="92"/>
      <c r="S186" s="92"/>
      <c r="T186" s="92"/>
    </row>
    <row r="187" spans="1:20" s="85" customFormat="1" ht="15.6" x14ac:dyDescent="0.75">
      <c r="A187" s="102"/>
      <c r="B187" s="103"/>
      <c r="D187" s="92"/>
      <c r="E187" s="104"/>
      <c r="G187" s="92"/>
      <c r="H187" s="99"/>
      <c r="I187" s="100"/>
      <c r="J187" s="99"/>
      <c r="K187" s="100"/>
      <c r="L187" s="100"/>
      <c r="R187" s="92"/>
      <c r="S187" s="92"/>
      <c r="T187" s="92"/>
    </row>
    <row r="188" spans="1:20" s="85" customFormat="1" ht="15.6" x14ac:dyDescent="0.75">
      <c r="A188" s="92" t="s">
        <v>370</v>
      </c>
      <c r="B188" s="95">
        <v>4.65E-2</v>
      </c>
      <c r="C188" s="92" t="s">
        <v>277</v>
      </c>
      <c r="D188" s="94">
        <v>0</v>
      </c>
      <c r="E188" s="95">
        <v>4.65E-2</v>
      </c>
      <c r="F188" s="92" t="s">
        <v>277</v>
      </c>
      <c r="G188" s="94">
        <v>0</v>
      </c>
      <c r="H188" s="100" t="s">
        <v>371</v>
      </c>
      <c r="I188" s="100" t="s">
        <v>372</v>
      </c>
      <c r="J188" s="99" t="s">
        <v>281</v>
      </c>
      <c r="K188" s="100" t="s">
        <v>281</v>
      </c>
      <c r="L188" s="101">
        <v>1941</v>
      </c>
      <c r="M188" s="97"/>
      <c r="R188" s="92"/>
      <c r="S188" s="92"/>
      <c r="T188" s="92"/>
    </row>
    <row r="189" spans="1:20" s="85" customFormat="1" ht="15.6" x14ac:dyDescent="0.75">
      <c r="A189" s="115"/>
      <c r="B189" s="103"/>
      <c r="D189" s="92"/>
      <c r="E189" s="104"/>
      <c r="G189" s="92"/>
      <c r="H189" s="98"/>
      <c r="I189" s="101"/>
      <c r="J189" s="99"/>
      <c r="K189" s="100"/>
      <c r="L189" s="100"/>
      <c r="R189" s="92"/>
      <c r="S189" s="92"/>
      <c r="T189" s="92"/>
    </row>
    <row r="190" spans="1:20" s="85" customFormat="1" ht="15.6" x14ac:dyDescent="0.75">
      <c r="A190" s="92" t="s">
        <v>373</v>
      </c>
      <c r="B190" s="93">
        <v>3.3500000000000002E-2</v>
      </c>
      <c r="C190" s="85" t="s">
        <v>277</v>
      </c>
      <c r="D190" s="94">
        <v>0</v>
      </c>
      <c r="E190" s="95">
        <v>3.3500000000000002E-2</v>
      </c>
      <c r="F190" s="85" t="s">
        <v>277</v>
      </c>
      <c r="G190" s="94">
        <v>0</v>
      </c>
      <c r="H190" s="96">
        <v>7000</v>
      </c>
      <c r="I190" s="94">
        <v>14050</v>
      </c>
      <c r="J190" s="96">
        <v>4850</v>
      </c>
      <c r="K190" s="94">
        <v>9700</v>
      </c>
      <c r="L190" s="96">
        <v>4850</v>
      </c>
      <c r="M190" s="97"/>
      <c r="R190" s="92"/>
      <c r="S190" s="92"/>
      <c r="T190" s="92"/>
    </row>
    <row r="191" spans="1:20" s="85" customFormat="1" ht="15.6" x14ac:dyDescent="0.75">
      <c r="A191" s="92" t="s">
        <v>374</v>
      </c>
      <c r="B191" s="93">
        <v>6.6000000000000003E-2</v>
      </c>
      <c r="C191" s="85" t="s">
        <v>277</v>
      </c>
      <c r="D191" s="94">
        <v>45400</v>
      </c>
      <c r="E191" s="95">
        <v>6.6000000000000003E-2</v>
      </c>
      <c r="F191" s="85" t="s">
        <v>277</v>
      </c>
      <c r="G191" s="94">
        <v>75850</v>
      </c>
      <c r="H191" s="125"/>
      <c r="I191" s="108"/>
      <c r="J191" s="99"/>
      <c r="K191" s="100"/>
      <c r="L191" s="100"/>
      <c r="R191" s="92"/>
      <c r="S191" s="92"/>
      <c r="T191" s="92"/>
    </row>
    <row r="192" spans="1:20" s="85" customFormat="1" ht="15.6" x14ac:dyDescent="0.75">
      <c r="A192" s="126"/>
      <c r="B192" s="93">
        <v>7.5999999999999998E-2</v>
      </c>
      <c r="C192" s="85" t="s">
        <v>277</v>
      </c>
      <c r="D192" s="94">
        <v>110050</v>
      </c>
      <c r="E192" s="95">
        <v>7.5999999999999998E-2</v>
      </c>
      <c r="F192" s="85" t="s">
        <v>277</v>
      </c>
      <c r="G192" s="94">
        <v>183400</v>
      </c>
      <c r="H192" s="99"/>
      <c r="I192" s="100"/>
      <c r="J192" s="99"/>
      <c r="K192" s="100"/>
      <c r="L192" s="100"/>
      <c r="R192" s="92"/>
      <c r="S192" s="92"/>
      <c r="T192" s="92"/>
    </row>
    <row r="193" spans="1:20" s="85" customFormat="1" ht="15.6" x14ac:dyDescent="0.75">
      <c r="A193" s="102"/>
      <c r="B193" s="93">
        <v>8.7499999999999994E-2</v>
      </c>
      <c r="C193" s="85" t="s">
        <v>277</v>
      </c>
      <c r="D193" s="94">
        <v>229550</v>
      </c>
      <c r="E193" s="95">
        <v>8.7499999999999994E-2</v>
      </c>
      <c r="F193" s="85" t="s">
        <v>277</v>
      </c>
      <c r="G193" s="94">
        <v>279450</v>
      </c>
      <c r="H193" s="99"/>
      <c r="I193" s="100"/>
      <c r="J193" s="99"/>
      <c r="K193" s="100"/>
      <c r="L193" s="100"/>
      <c r="R193" s="92"/>
      <c r="S193" s="92"/>
      <c r="T193" s="92"/>
    </row>
    <row r="194" spans="1:20" s="85" customFormat="1" ht="15.6" x14ac:dyDescent="0.75">
      <c r="A194" s="102"/>
      <c r="B194" s="103"/>
      <c r="D194" s="92"/>
      <c r="E194" s="104"/>
      <c r="G194" s="92"/>
      <c r="H194" s="99"/>
      <c r="I194" s="100"/>
      <c r="J194" s="99"/>
      <c r="K194" s="100"/>
      <c r="L194" s="100"/>
      <c r="R194" s="92"/>
      <c r="S194" s="92"/>
      <c r="T194" s="92"/>
    </row>
    <row r="195" spans="1:20" s="85" customFormat="1" ht="15.6" x14ac:dyDescent="0.75">
      <c r="A195" s="92" t="s">
        <v>375</v>
      </c>
      <c r="B195" s="95">
        <v>0.02</v>
      </c>
      <c r="C195" s="92" t="s">
        <v>277</v>
      </c>
      <c r="D195" s="94">
        <v>0</v>
      </c>
      <c r="E195" s="95">
        <v>0.02</v>
      </c>
      <c r="F195" s="92" t="s">
        <v>277</v>
      </c>
      <c r="G195" s="94">
        <v>0</v>
      </c>
      <c r="H195" s="96">
        <v>8000</v>
      </c>
      <c r="I195" s="94">
        <v>16000</v>
      </c>
      <c r="J195" s="96">
        <v>930</v>
      </c>
      <c r="K195" s="94">
        <v>1860</v>
      </c>
      <c r="L195" s="94">
        <v>930</v>
      </c>
      <c r="M195" s="97"/>
      <c r="R195" s="92"/>
      <c r="S195" s="92"/>
      <c r="T195" s="92"/>
    </row>
    <row r="196" spans="1:20" s="85" customFormat="1" ht="15.6" x14ac:dyDescent="0.75">
      <c r="A196" s="92" t="s">
        <v>376</v>
      </c>
      <c r="B196" s="93">
        <v>0.03</v>
      </c>
      <c r="C196" s="85" t="s">
        <v>277</v>
      </c>
      <c r="D196" s="94">
        <v>3000</v>
      </c>
      <c r="E196" s="95">
        <v>0.03</v>
      </c>
      <c r="F196" s="85" t="s">
        <v>277</v>
      </c>
      <c r="G196" s="94">
        <v>3000</v>
      </c>
      <c r="H196" s="99"/>
      <c r="I196" s="100"/>
      <c r="J196" s="99"/>
      <c r="K196" s="100"/>
      <c r="L196" s="100"/>
      <c r="R196" s="92"/>
      <c r="S196" s="92"/>
      <c r="T196" s="92"/>
    </row>
    <row r="197" spans="1:20" s="85" customFormat="1" ht="15.6" x14ac:dyDescent="0.75">
      <c r="A197" s="102"/>
      <c r="B197" s="93">
        <v>0.05</v>
      </c>
      <c r="C197" s="85" t="s">
        <v>277</v>
      </c>
      <c r="D197" s="94">
        <v>5000</v>
      </c>
      <c r="E197" s="95">
        <v>0.05</v>
      </c>
      <c r="F197" s="85" t="s">
        <v>277</v>
      </c>
      <c r="G197" s="94">
        <v>5000</v>
      </c>
      <c r="H197" s="99"/>
      <c r="I197" s="100"/>
      <c r="J197" s="99"/>
      <c r="K197" s="100"/>
      <c r="L197" s="100"/>
      <c r="R197" s="92"/>
      <c r="S197" s="92"/>
      <c r="T197" s="92"/>
    </row>
    <row r="198" spans="1:20" s="85" customFormat="1" ht="15.6" x14ac:dyDescent="0.75">
      <c r="A198" s="102"/>
      <c r="B198" s="93">
        <v>5.7500000000000002E-2</v>
      </c>
      <c r="C198" s="85" t="s">
        <v>277</v>
      </c>
      <c r="D198" s="94">
        <v>17000</v>
      </c>
      <c r="E198" s="95">
        <v>5.7500000000000002E-2</v>
      </c>
      <c r="F198" s="85" t="s">
        <v>277</v>
      </c>
      <c r="G198" s="94">
        <v>17000</v>
      </c>
      <c r="H198" s="99"/>
      <c r="I198" s="100"/>
      <c r="J198" s="99"/>
      <c r="K198" s="100"/>
      <c r="L198" s="100"/>
      <c r="R198" s="92"/>
      <c r="S198" s="92"/>
      <c r="T198" s="92"/>
    </row>
    <row r="199" spans="1:20" s="85" customFormat="1" ht="15.6" x14ac:dyDescent="0.75">
      <c r="A199" s="102"/>
      <c r="B199" s="103"/>
      <c r="D199" s="92"/>
      <c r="E199" s="104"/>
      <c r="G199" s="92"/>
      <c r="H199" s="99"/>
      <c r="I199" s="100"/>
      <c r="J199" s="99"/>
      <c r="K199" s="100"/>
      <c r="L199" s="100"/>
      <c r="R199" s="92"/>
      <c r="S199" s="92"/>
      <c r="T199" s="92"/>
    </row>
    <row r="200" spans="1:20" s="85" customFormat="1" ht="15.6" x14ac:dyDescent="0.75">
      <c r="A200" s="92" t="s">
        <v>377</v>
      </c>
      <c r="B200" s="280" t="s">
        <v>378</v>
      </c>
      <c r="C200" s="281"/>
      <c r="D200" s="281"/>
      <c r="E200" s="280" t="s">
        <v>378</v>
      </c>
      <c r="F200" s="281"/>
      <c r="G200" s="281"/>
      <c r="H200" s="96">
        <v>250000</v>
      </c>
      <c r="I200" s="101">
        <v>250000</v>
      </c>
      <c r="J200" s="99" t="s">
        <v>281</v>
      </c>
      <c r="K200" s="100" t="s">
        <v>281</v>
      </c>
      <c r="L200" s="100" t="s">
        <v>281</v>
      </c>
      <c r="M200" s="97"/>
      <c r="R200" s="92"/>
      <c r="S200" s="92"/>
      <c r="T200" s="92"/>
    </row>
    <row r="201" spans="1:20" s="85" customFormat="1" ht="15.6" x14ac:dyDescent="0.75">
      <c r="A201" s="102"/>
      <c r="B201" s="103"/>
      <c r="D201" s="92"/>
      <c r="E201" s="104"/>
      <c r="G201" s="92"/>
      <c r="H201" s="99"/>
      <c r="I201" s="100"/>
      <c r="J201" s="99"/>
      <c r="K201" s="100"/>
      <c r="L201" s="100"/>
      <c r="R201" s="92"/>
      <c r="S201" s="92"/>
      <c r="T201" s="92"/>
    </row>
    <row r="202" spans="1:20" s="85" customFormat="1" ht="15.6" x14ac:dyDescent="0.75">
      <c r="A202" s="92" t="s">
        <v>379</v>
      </c>
      <c r="B202" s="95">
        <v>2.3599999999999999E-2</v>
      </c>
      <c r="C202" s="92" t="s">
        <v>277</v>
      </c>
      <c r="D202" s="94">
        <v>0</v>
      </c>
      <c r="E202" s="95">
        <v>2.3599999999999999E-2</v>
      </c>
      <c r="F202" s="92" t="s">
        <v>277</v>
      </c>
      <c r="G202" s="94">
        <v>0</v>
      </c>
      <c r="H202" s="99" t="s">
        <v>281</v>
      </c>
      <c r="I202" s="100" t="s">
        <v>281</v>
      </c>
      <c r="J202" s="96">
        <v>2000</v>
      </c>
      <c r="K202" s="94">
        <v>4000</v>
      </c>
      <c r="L202" s="94">
        <v>2000</v>
      </c>
      <c r="M202" s="97"/>
      <c r="R202" s="92"/>
      <c r="S202" s="92"/>
      <c r="T202" s="92"/>
    </row>
    <row r="203" spans="1:20" s="85" customFormat="1" ht="15.6" x14ac:dyDescent="0.75">
      <c r="A203" s="92" t="s">
        <v>315</v>
      </c>
      <c r="B203" s="93">
        <v>3.15E-2</v>
      </c>
      <c r="C203" s="85" t="s">
        <v>277</v>
      </c>
      <c r="D203" s="94">
        <v>10000</v>
      </c>
      <c r="E203" s="93">
        <v>3.15E-2</v>
      </c>
      <c r="F203" s="85" t="s">
        <v>277</v>
      </c>
      <c r="G203" s="94">
        <v>10000</v>
      </c>
      <c r="H203" s="99"/>
      <c r="I203" s="100"/>
      <c r="J203" s="99"/>
      <c r="K203" s="100"/>
      <c r="L203" s="100"/>
      <c r="R203" s="92"/>
      <c r="S203" s="92"/>
      <c r="T203" s="92"/>
    </row>
    <row r="204" spans="1:20" s="85" customFormat="1" ht="15.6" x14ac:dyDescent="0.75">
      <c r="A204" s="102"/>
      <c r="B204" s="93">
        <v>3.5400000000000001E-2</v>
      </c>
      <c r="C204" s="85" t="s">
        <v>277</v>
      </c>
      <c r="D204" s="94">
        <v>25000</v>
      </c>
      <c r="E204" s="93">
        <v>3.5400000000000001E-2</v>
      </c>
      <c r="F204" s="85" t="s">
        <v>277</v>
      </c>
      <c r="G204" s="94">
        <v>25000</v>
      </c>
      <c r="H204" s="99"/>
      <c r="I204" s="100"/>
      <c r="J204" s="99"/>
      <c r="K204" s="100"/>
      <c r="L204" s="100"/>
      <c r="R204" s="92"/>
      <c r="S204" s="92"/>
      <c r="T204" s="92"/>
    </row>
    <row r="205" spans="1:20" s="85" customFormat="1" ht="15.6" x14ac:dyDescent="0.75">
      <c r="A205" s="102"/>
      <c r="B205" s="93">
        <v>4.7199999999999999E-2</v>
      </c>
      <c r="C205" s="85" t="s">
        <v>277</v>
      </c>
      <c r="D205" s="94">
        <v>40000</v>
      </c>
      <c r="E205" s="93">
        <v>4.7199999999999999E-2</v>
      </c>
      <c r="F205" s="85" t="s">
        <v>277</v>
      </c>
      <c r="G205" s="94">
        <v>40000</v>
      </c>
      <c r="H205" s="99"/>
      <c r="I205" s="100"/>
      <c r="J205" s="99"/>
      <c r="K205" s="100"/>
      <c r="L205" s="100"/>
      <c r="R205" s="92"/>
      <c r="S205" s="92"/>
      <c r="T205" s="92"/>
    </row>
    <row r="206" spans="1:20" s="85" customFormat="1" ht="15.6" x14ac:dyDescent="0.75">
      <c r="A206" s="102"/>
      <c r="B206" s="93">
        <v>5.1200000000000002E-2</v>
      </c>
      <c r="C206" s="85" t="s">
        <v>277</v>
      </c>
      <c r="D206" s="94">
        <v>60000</v>
      </c>
      <c r="E206" s="93">
        <v>5.1200000000000002E-2</v>
      </c>
      <c r="F206" s="85" t="s">
        <v>277</v>
      </c>
      <c r="G206" s="94">
        <v>60000</v>
      </c>
      <c r="H206" s="99"/>
      <c r="I206" s="100"/>
      <c r="J206" s="99"/>
      <c r="K206" s="100"/>
      <c r="L206" s="100"/>
      <c r="R206" s="92"/>
      <c r="S206" s="92"/>
      <c r="T206" s="92"/>
    </row>
    <row r="207" spans="1:20" s="85" customFormat="1" ht="15.6" x14ac:dyDescent="0.75">
      <c r="A207" s="102"/>
      <c r="B207" s="103"/>
      <c r="D207" s="92"/>
      <c r="E207" s="104"/>
      <c r="G207" s="92"/>
      <c r="H207" s="99"/>
      <c r="I207" s="100"/>
      <c r="J207" s="99"/>
      <c r="K207" s="100"/>
      <c r="L207" s="100"/>
      <c r="R207" s="92"/>
      <c r="S207" s="92"/>
      <c r="T207" s="92"/>
    </row>
    <row r="208" spans="1:20" s="85" customFormat="1" ht="15.6" x14ac:dyDescent="0.75">
      <c r="A208" s="92" t="s">
        <v>380</v>
      </c>
      <c r="B208" s="95">
        <v>3.5000000000000003E-2</v>
      </c>
      <c r="C208" s="92" t="s">
        <v>277</v>
      </c>
      <c r="D208" s="94">
        <v>0</v>
      </c>
      <c r="E208" s="95">
        <v>3.5000000000000003E-2</v>
      </c>
      <c r="F208" s="92" t="s">
        <v>277</v>
      </c>
      <c r="G208" s="94">
        <v>0</v>
      </c>
      <c r="H208" s="96">
        <v>13230</v>
      </c>
      <c r="I208" s="94">
        <v>24490</v>
      </c>
      <c r="J208" s="96">
        <v>700</v>
      </c>
      <c r="K208" s="94">
        <v>1400</v>
      </c>
      <c r="L208" s="94">
        <v>700</v>
      </c>
      <c r="M208" s="97"/>
      <c r="R208" s="92"/>
      <c r="S208" s="92"/>
      <c r="T208" s="92"/>
    </row>
    <row r="209" spans="1:20" s="85" customFormat="1" ht="15.6" x14ac:dyDescent="0.75">
      <c r="A209" s="92" t="s">
        <v>381</v>
      </c>
      <c r="B209" s="93">
        <v>4.3999999999999997E-2</v>
      </c>
      <c r="C209" s="85" t="s">
        <v>277</v>
      </c>
      <c r="D209" s="94">
        <v>14320</v>
      </c>
      <c r="E209" s="93">
        <v>4.3999999999999997E-2</v>
      </c>
      <c r="F209" s="85" t="s">
        <v>277</v>
      </c>
      <c r="G209" s="94">
        <v>19090</v>
      </c>
      <c r="H209" s="99"/>
      <c r="I209" s="100"/>
      <c r="J209" s="99"/>
      <c r="K209" s="100"/>
      <c r="L209" s="100"/>
      <c r="R209" s="92"/>
      <c r="S209" s="92"/>
      <c r="T209" s="92"/>
    </row>
    <row r="210" spans="1:20" s="85" customFormat="1" ht="15.6" x14ac:dyDescent="0.75">
      <c r="A210" s="115"/>
      <c r="B210" s="95">
        <v>5.2999999999999999E-2</v>
      </c>
      <c r="C210" s="85" t="s">
        <v>277</v>
      </c>
      <c r="D210" s="94">
        <v>28640</v>
      </c>
      <c r="E210" s="95">
        <v>5.2999999999999999E-2</v>
      </c>
      <c r="F210" s="85" t="s">
        <v>277</v>
      </c>
      <c r="G210" s="94">
        <v>38190</v>
      </c>
      <c r="H210" s="99"/>
      <c r="I210" s="100"/>
      <c r="J210" s="99"/>
      <c r="K210" s="100"/>
      <c r="L210" s="100"/>
      <c r="R210" s="92"/>
      <c r="S210" s="92"/>
      <c r="T210" s="92"/>
    </row>
    <row r="211" spans="1:20" s="85" customFormat="1" ht="15.6" x14ac:dyDescent="0.75">
      <c r="A211" s="102"/>
      <c r="B211" s="93">
        <v>7.6499999999999999E-2</v>
      </c>
      <c r="C211" s="85" t="s">
        <v>277</v>
      </c>
      <c r="D211" s="94">
        <v>315310</v>
      </c>
      <c r="E211" s="95">
        <v>7.6499999999999999E-2</v>
      </c>
      <c r="F211" s="85" t="s">
        <v>277</v>
      </c>
      <c r="G211" s="94">
        <v>420420</v>
      </c>
      <c r="H211" s="99"/>
      <c r="I211" s="100"/>
      <c r="J211" s="99"/>
      <c r="K211" s="100"/>
      <c r="L211" s="100"/>
      <c r="R211" s="92"/>
      <c r="S211" s="92"/>
      <c r="T211" s="92"/>
    </row>
    <row r="212" spans="1:20" s="85" customFormat="1" ht="15.6" x14ac:dyDescent="0.75">
      <c r="A212" s="102"/>
      <c r="B212" s="103"/>
      <c r="D212" s="92"/>
      <c r="E212" s="104"/>
      <c r="G212" s="92"/>
      <c r="H212" s="99"/>
      <c r="I212" s="100"/>
      <c r="J212" s="99"/>
      <c r="K212" s="100"/>
      <c r="L212" s="100"/>
      <c r="R212" s="92"/>
      <c r="S212" s="92"/>
      <c r="T212" s="92"/>
    </row>
    <row r="213" spans="1:20" s="85" customFormat="1" ht="15.6" x14ac:dyDescent="0.75">
      <c r="A213" s="92" t="s">
        <v>382</v>
      </c>
      <c r="B213" s="280" t="s">
        <v>280</v>
      </c>
      <c r="C213" s="281"/>
      <c r="D213" s="281"/>
      <c r="E213" s="280" t="s">
        <v>280</v>
      </c>
      <c r="F213" s="281"/>
      <c r="G213" s="281"/>
      <c r="H213" s="99" t="s">
        <v>281</v>
      </c>
      <c r="I213" s="100" t="s">
        <v>281</v>
      </c>
      <c r="J213" s="99" t="s">
        <v>281</v>
      </c>
      <c r="K213" s="100" t="s">
        <v>281</v>
      </c>
      <c r="L213" s="100" t="s">
        <v>281</v>
      </c>
      <c r="M213" s="97"/>
      <c r="R213" s="92"/>
      <c r="S213" s="92"/>
      <c r="T213" s="92"/>
    </row>
    <row r="214" spans="1:20" s="85" customFormat="1" ht="15.6" x14ac:dyDescent="0.75">
      <c r="A214" s="102"/>
      <c r="B214" s="103"/>
      <c r="D214" s="92"/>
      <c r="E214" s="104"/>
      <c r="G214" s="92"/>
      <c r="H214" s="99"/>
      <c r="I214" s="100"/>
      <c r="J214" s="99"/>
      <c r="K214" s="100"/>
      <c r="L214" s="100"/>
      <c r="R214" s="92"/>
      <c r="S214" s="92"/>
      <c r="T214" s="92"/>
    </row>
    <row r="215" spans="1:20" s="85" customFormat="1" ht="15.6" x14ac:dyDescent="0.75">
      <c r="A215" s="92" t="s">
        <v>383</v>
      </c>
      <c r="B215" s="93">
        <v>0.04</v>
      </c>
      <c r="C215" s="85" t="s">
        <v>277</v>
      </c>
      <c r="D215" s="94">
        <v>0</v>
      </c>
      <c r="E215" s="95">
        <v>0.04</v>
      </c>
      <c r="F215" s="85" t="s">
        <v>277</v>
      </c>
      <c r="G215" s="94">
        <v>0</v>
      </c>
      <c r="H215" s="96">
        <v>14600</v>
      </c>
      <c r="I215" s="94">
        <v>29200</v>
      </c>
      <c r="J215" s="99" t="s">
        <v>281</v>
      </c>
      <c r="K215" s="100" t="s">
        <v>281</v>
      </c>
      <c r="L215" s="100" t="s">
        <v>281</v>
      </c>
      <c r="M215" s="97"/>
      <c r="R215" s="92"/>
      <c r="S215" s="92"/>
      <c r="T215" s="92"/>
    </row>
    <row r="216" spans="1:20" s="85" customFormat="1" ht="15.6" x14ac:dyDescent="0.75">
      <c r="A216" s="92" t="s">
        <v>384</v>
      </c>
      <c r="B216" s="93">
        <v>0.06</v>
      </c>
      <c r="C216" s="85" t="s">
        <v>277</v>
      </c>
      <c r="D216" s="94">
        <v>10000</v>
      </c>
      <c r="E216" s="95">
        <v>0.06</v>
      </c>
      <c r="F216" s="85" t="s">
        <v>277</v>
      </c>
      <c r="G216" s="94">
        <v>10000</v>
      </c>
      <c r="H216" s="99"/>
      <c r="I216" s="100"/>
      <c r="J216" s="99"/>
      <c r="K216" s="100"/>
      <c r="L216" s="100"/>
      <c r="R216" s="92"/>
      <c r="S216" s="92"/>
      <c r="T216" s="92"/>
    </row>
    <row r="217" spans="1:20" s="85" customFormat="1" ht="15.6" x14ac:dyDescent="0.75">
      <c r="A217" s="102"/>
      <c r="B217" s="93">
        <v>6.5000000000000002E-2</v>
      </c>
      <c r="C217" s="85" t="s">
        <v>277</v>
      </c>
      <c r="D217" s="94">
        <v>40000</v>
      </c>
      <c r="E217" s="95">
        <v>6.5000000000000002E-2</v>
      </c>
      <c r="F217" s="85" t="s">
        <v>277</v>
      </c>
      <c r="G217" s="94">
        <v>40000</v>
      </c>
      <c r="H217" s="99"/>
      <c r="I217" s="100"/>
      <c r="J217" s="99"/>
      <c r="K217" s="100"/>
      <c r="L217" s="100"/>
      <c r="R217" s="92"/>
      <c r="S217" s="92"/>
      <c r="T217" s="92"/>
    </row>
    <row r="218" spans="1:20" s="85" customFormat="1" ht="15.6" x14ac:dyDescent="0.75">
      <c r="A218" s="102"/>
      <c r="B218" s="93">
        <v>8.5000000000000006E-2</v>
      </c>
      <c r="C218" s="85" t="s">
        <v>277</v>
      </c>
      <c r="D218" s="94">
        <v>60000</v>
      </c>
      <c r="E218" s="95">
        <v>8.5000000000000006E-2</v>
      </c>
      <c r="F218" s="85" t="s">
        <v>277</v>
      </c>
      <c r="G218" s="94">
        <v>60000</v>
      </c>
      <c r="H218" s="99"/>
      <c r="I218" s="100"/>
      <c r="J218" s="99"/>
      <c r="K218" s="100"/>
      <c r="L218" s="100"/>
      <c r="R218" s="92"/>
      <c r="S218" s="92"/>
      <c r="T218" s="92"/>
    </row>
    <row r="219" spans="1:20" s="85" customFormat="1" ht="15.6" x14ac:dyDescent="0.75">
      <c r="A219" s="102"/>
      <c r="B219" s="95">
        <v>9.2499999999999999E-2</v>
      </c>
      <c r="C219" s="85" t="s">
        <v>277</v>
      </c>
      <c r="D219" s="94">
        <v>250000</v>
      </c>
      <c r="E219" s="95">
        <v>9.2499999999999999E-2</v>
      </c>
      <c r="F219" s="85" t="s">
        <v>277</v>
      </c>
      <c r="G219" s="94">
        <v>250000</v>
      </c>
      <c r="H219" s="99"/>
      <c r="I219" s="100"/>
      <c r="J219" s="99"/>
      <c r="K219" s="100"/>
      <c r="L219" s="100"/>
      <c r="R219" s="92"/>
      <c r="S219" s="92"/>
      <c r="T219" s="92"/>
    </row>
    <row r="220" spans="1:20" s="85" customFormat="1" ht="15.6" x14ac:dyDescent="0.75">
      <c r="A220" s="102"/>
      <c r="B220" s="95">
        <v>9.7500000000000003E-2</v>
      </c>
      <c r="C220" s="92" t="s">
        <v>277</v>
      </c>
      <c r="D220" s="94">
        <v>500000</v>
      </c>
      <c r="E220" s="95">
        <v>9.7500000000000003E-2</v>
      </c>
      <c r="F220" s="92" t="s">
        <v>277</v>
      </c>
      <c r="G220" s="94">
        <v>500000</v>
      </c>
      <c r="H220" s="99"/>
      <c r="I220" s="100"/>
      <c r="J220" s="99"/>
      <c r="K220" s="100"/>
      <c r="L220" s="100"/>
      <c r="R220" s="92"/>
      <c r="S220" s="92"/>
      <c r="T220" s="92"/>
    </row>
    <row r="221" spans="1:20" s="85" customFormat="1" ht="15.6" x14ac:dyDescent="0.75">
      <c r="A221" s="102"/>
      <c r="B221" s="95">
        <v>0.1075</v>
      </c>
      <c r="C221" s="92" t="s">
        <v>277</v>
      </c>
      <c r="D221" s="94">
        <v>1000000</v>
      </c>
      <c r="E221" s="95">
        <v>0.1075</v>
      </c>
      <c r="F221" s="92" t="s">
        <v>277</v>
      </c>
      <c r="G221" s="94">
        <v>1000000</v>
      </c>
      <c r="H221" s="99"/>
      <c r="I221" s="100"/>
      <c r="J221" s="99"/>
      <c r="K221" s="100"/>
      <c r="L221" s="100"/>
      <c r="R221" s="92"/>
      <c r="S221" s="92"/>
      <c r="T221" s="92"/>
    </row>
    <row r="222" spans="1:20" s="85" customFormat="1" ht="15.6" x14ac:dyDescent="0.75">
      <c r="A222" s="102"/>
      <c r="D222" s="92"/>
      <c r="E222" s="92"/>
      <c r="G222" s="92"/>
      <c r="H222" s="92"/>
      <c r="I222" s="92"/>
      <c r="J222" s="92"/>
      <c r="K222" s="92"/>
      <c r="L222" s="92"/>
    </row>
    <row r="223" spans="1:20" s="283" customFormat="1" ht="15.75" customHeight="1" x14ac:dyDescent="0.75">
      <c r="A223" s="283" t="s">
        <v>508</v>
      </c>
    </row>
    <row r="224" spans="1:20" s="287" customFormat="1" ht="15.6" x14ac:dyDescent="0.55000000000000004">
      <c r="A224" s="287" t="s">
        <v>385</v>
      </c>
    </row>
    <row r="225" spans="1:1" s="287" customFormat="1" ht="15.6" x14ac:dyDescent="0.55000000000000004">
      <c r="A225" s="287" t="s">
        <v>386</v>
      </c>
    </row>
    <row r="226" spans="1:1" s="287" customFormat="1" ht="15.6" x14ac:dyDescent="0.55000000000000004">
      <c r="A226" s="287" t="s">
        <v>387</v>
      </c>
    </row>
    <row r="227" spans="1:1" s="287" customFormat="1" ht="15.6" x14ac:dyDescent="0.55000000000000004">
      <c r="A227" s="287" t="s">
        <v>388</v>
      </c>
    </row>
    <row r="228" spans="1:1" s="287" customFormat="1" ht="15.6" x14ac:dyDescent="0.55000000000000004">
      <c r="A228" s="287" t="s">
        <v>389</v>
      </c>
    </row>
    <row r="229" spans="1:1" s="287" customFormat="1" ht="15.6" x14ac:dyDescent="0.55000000000000004">
      <c r="A229" s="287" t="s">
        <v>390</v>
      </c>
    </row>
    <row r="230" spans="1:1" s="287" customFormat="1" ht="15.6" x14ac:dyDescent="0.55000000000000004">
      <c r="A230" s="287" t="s">
        <v>391</v>
      </c>
    </row>
    <row r="231" spans="1:1" s="287" customFormat="1" ht="15.6" x14ac:dyDescent="0.55000000000000004">
      <c r="A231" s="287" t="s">
        <v>392</v>
      </c>
    </row>
    <row r="232" spans="1:1" s="287" customFormat="1" ht="15.6" x14ac:dyDescent="0.55000000000000004">
      <c r="A232" s="287" t="s">
        <v>393</v>
      </c>
    </row>
    <row r="233" spans="1:1" s="287" customFormat="1" ht="15.6" x14ac:dyDescent="0.55000000000000004">
      <c r="A233" s="287" t="s">
        <v>394</v>
      </c>
    </row>
    <row r="234" spans="1:1" s="287" customFormat="1" ht="15.6" x14ac:dyDescent="0.55000000000000004">
      <c r="A234" s="287" t="s">
        <v>395</v>
      </c>
    </row>
    <row r="235" spans="1:1" s="287" customFormat="1" ht="15.6" x14ac:dyDescent="0.55000000000000004">
      <c r="A235" s="287" t="s">
        <v>396</v>
      </c>
    </row>
    <row r="236" spans="1:1" s="287" customFormat="1" ht="15.6" x14ac:dyDescent="0.55000000000000004">
      <c r="A236" s="287" t="s">
        <v>397</v>
      </c>
    </row>
    <row r="237" spans="1:1" s="287" customFormat="1" ht="15.6" x14ac:dyDescent="0.55000000000000004">
      <c r="A237" s="287" t="s">
        <v>398</v>
      </c>
    </row>
    <row r="238" spans="1:1" s="288" customFormat="1" ht="15.6" x14ac:dyDescent="0.55000000000000004">
      <c r="A238" s="288" t="s">
        <v>399</v>
      </c>
    </row>
    <row r="239" spans="1:1" s="287" customFormat="1" ht="15.6" x14ac:dyDescent="0.55000000000000004">
      <c r="A239" s="287" t="s">
        <v>400</v>
      </c>
    </row>
    <row r="240" spans="1:1" s="287" customFormat="1" ht="15.6" x14ac:dyDescent="0.55000000000000004">
      <c r="A240" s="287" t="s">
        <v>401</v>
      </c>
    </row>
    <row r="241" spans="1:1" s="287" customFormat="1" ht="15.6" x14ac:dyDescent="0.55000000000000004">
      <c r="A241" s="287" t="s">
        <v>402</v>
      </c>
    </row>
    <row r="242" spans="1:1" s="287" customFormat="1" ht="15.6" x14ac:dyDescent="0.55000000000000004">
      <c r="A242" s="287" t="s">
        <v>403</v>
      </c>
    </row>
    <row r="243" spans="1:1" s="287" customFormat="1" ht="15.6" x14ac:dyDescent="0.55000000000000004">
      <c r="A243" s="287" t="s">
        <v>404</v>
      </c>
    </row>
    <row r="244" spans="1:1" s="287" customFormat="1" ht="15.6" x14ac:dyDescent="0.55000000000000004">
      <c r="A244" s="287" t="s">
        <v>405</v>
      </c>
    </row>
    <row r="245" spans="1:1" s="287" customFormat="1" ht="15.6" x14ac:dyDescent="0.55000000000000004">
      <c r="A245" s="287" t="s">
        <v>406</v>
      </c>
    </row>
    <row r="246" spans="1:1" s="287" customFormat="1" ht="15.6" x14ac:dyDescent="0.55000000000000004">
      <c r="A246" s="287" t="s">
        <v>407</v>
      </c>
    </row>
    <row r="247" spans="1:1" s="287" customFormat="1" ht="15.6" x14ac:dyDescent="0.55000000000000004">
      <c r="A247" s="287" t="s">
        <v>408</v>
      </c>
    </row>
    <row r="248" spans="1:1" s="287" customFormat="1" ht="15.6" x14ac:dyDescent="0.55000000000000004">
      <c r="A248" s="287" t="s">
        <v>409</v>
      </c>
    </row>
    <row r="249" spans="1:1" s="287" customFormat="1" ht="15.6" x14ac:dyDescent="0.55000000000000004">
      <c r="A249" s="287" t="s">
        <v>410</v>
      </c>
    </row>
    <row r="250" spans="1:1" s="287" customFormat="1" ht="15.6" x14ac:dyDescent="0.55000000000000004">
      <c r="A250" s="287" t="s">
        <v>411</v>
      </c>
    </row>
    <row r="251" spans="1:1" s="287" customFormat="1" ht="15.6" x14ac:dyDescent="0.55000000000000004">
      <c r="A251" s="287" t="s">
        <v>412</v>
      </c>
    </row>
    <row r="252" spans="1:1" s="287" customFormat="1" ht="15.6" x14ac:dyDescent="0.55000000000000004">
      <c r="A252" s="287" t="s">
        <v>413</v>
      </c>
    </row>
    <row r="253" spans="1:1" s="287" customFormat="1" ht="15.6" x14ac:dyDescent="0.55000000000000004">
      <c r="A253" s="287" t="s">
        <v>414</v>
      </c>
    </row>
    <row r="254" spans="1:1" s="287" customFormat="1" ht="15.6" x14ac:dyDescent="0.55000000000000004">
      <c r="A254" s="287" t="s">
        <v>415</v>
      </c>
    </row>
    <row r="255" spans="1:1" s="287" customFormat="1" ht="15.6" x14ac:dyDescent="0.55000000000000004">
      <c r="A255" s="287" t="s">
        <v>416</v>
      </c>
    </row>
    <row r="256" spans="1:1" s="287" customFormat="1" ht="15.6" x14ac:dyDescent="0.55000000000000004">
      <c r="A256" s="287" t="s">
        <v>417</v>
      </c>
    </row>
    <row r="257" spans="1:20" s="287" customFormat="1" ht="15.6" x14ac:dyDescent="0.55000000000000004">
      <c r="A257" s="287" t="s">
        <v>418</v>
      </c>
    </row>
    <row r="258" spans="1:20" s="287" customFormat="1" ht="15.6" x14ac:dyDescent="0.55000000000000004">
      <c r="A258" s="287" t="s">
        <v>419</v>
      </c>
    </row>
    <row r="259" spans="1:20" s="287" customFormat="1" ht="15.6" x14ac:dyDescent="0.55000000000000004">
      <c r="A259" s="287" t="s">
        <v>420</v>
      </c>
    </row>
    <row r="260" spans="1:20" s="287" customFormat="1" ht="15.6" x14ac:dyDescent="0.55000000000000004">
      <c r="A260" s="287" t="s">
        <v>421</v>
      </c>
    </row>
    <row r="261" spans="1:20" s="289" customFormat="1" ht="15.6" x14ac:dyDescent="0.55000000000000004">
      <c r="A261" s="289" t="s">
        <v>422</v>
      </c>
    </row>
    <row r="262" spans="1:20" s="289" customFormat="1" ht="15.6" x14ac:dyDescent="0.55000000000000004">
      <c r="A262" s="289" t="s">
        <v>423</v>
      </c>
    </row>
    <row r="263" spans="1:20" s="290" customFormat="1" ht="15.6" x14ac:dyDescent="0.75">
      <c r="A263" s="290" t="s">
        <v>424</v>
      </c>
    </row>
    <row r="264" spans="1:20" s="291" customFormat="1" ht="15.6" x14ac:dyDescent="0.75">
      <c r="A264" s="291" t="s">
        <v>425</v>
      </c>
    </row>
    <row r="265" spans="1:20" s="85" customFormat="1" ht="15.6" x14ac:dyDescent="0.75">
      <c r="A265" s="102"/>
      <c r="B265" s="104"/>
      <c r="C265" s="92"/>
      <c r="D265" s="92"/>
      <c r="E265" s="104"/>
      <c r="F265" s="92"/>
      <c r="G265" s="92"/>
      <c r="H265" s="99"/>
      <c r="I265" s="100"/>
      <c r="J265" s="99"/>
      <c r="K265" s="100"/>
      <c r="L265" s="100"/>
      <c r="M265" s="92"/>
      <c r="N265" s="92"/>
      <c r="O265" s="92"/>
      <c r="P265" s="92"/>
      <c r="Q265" s="92"/>
      <c r="R265" s="92"/>
      <c r="S265" s="92"/>
      <c r="T265" s="92"/>
    </row>
  </sheetData>
  <mergeCells count="65">
    <mergeCell ref="A261:XFD261"/>
    <mergeCell ref="A262:XFD262"/>
    <mergeCell ref="A263:XFD263"/>
    <mergeCell ref="A264:XFD264"/>
    <mergeCell ref="A255:XFD255"/>
    <mergeCell ref="A256:XFD256"/>
    <mergeCell ref="A257:XFD257"/>
    <mergeCell ref="A258:XFD258"/>
    <mergeCell ref="A259:XFD259"/>
    <mergeCell ref="A260:XFD260"/>
    <mergeCell ref="A254:XFD254"/>
    <mergeCell ref="A243:XFD243"/>
    <mergeCell ref="A244:XFD244"/>
    <mergeCell ref="A245:XFD245"/>
    <mergeCell ref="A246:XFD246"/>
    <mergeCell ref="A247:XFD247"/>
    <mergeCell ref="A248:XFD248"/>
    <mergeCell ref="A249:XFD249"/>
    <mergeCell ref="A250:XFD250"/>
    <mergeCell ref="A251:XFD251"/>
    <mergeCell ref="A252:XFD252"/>
    <mergeCell ref="A253:XFD253"/>
    <mergeCell ref="A242:XFD242"/>
    <mergeCell ref="A231:XFD231"/>
    <mergeCell ref="A232:XFD232"/>
    <mergeCell ref="A233:XFD233"/>
    <mergeCell ref="A234:XFD234"/>
    <mergeCell ref="A235:XFD235"/>
    <mergeCell ref="A236:XFD236"/>
    <mergeCell ref="A237:XFD237"/>
    <mergeCell ref="A238:XFD238"/>
    <mergeCell ref="A239:XFD239"/>
    <mergeCell ref="A240:XFD240"/>
    <mergeCell ref="A241:XFD241"/>
    <mergeCell ref="B186:D186"/>
    <mergeCell ref="E186:G186"/>
    <mergeCell ref="A230:XFD230"/>
    <mergeCell ref="B200:D200"/>
    <mergeCell ref="E200:G200"/>
    <mergeCell ref="B213:D213"/>
    <mergeCell ref="E213:G213"/>
    <mergeCell ref="A223:XFD223"/>
    <mergeCell ref="A224:XFD224"/>
    <mergeCell ref="A225:XFD225"/>
    <mergeCell ref="A226:XFD226"/>
    <mergeCell ref="A227:XFD227"/>
    <mergeCell ref="A228:XFD228"/>
    <mergeCell ref="A229:XFD229"/>
    <mergeCell ref="B125:D125"/>
    <mergeCell ref="E125:G125"/>
    <mergeCell ref="B182:D182"/>
    <mergeCell ref="E182:G182"/>
    <mergeCell ref="B184:D184"/>
    <mergeCell ref="E184:G184"/>
    <mergeCell ref="B8:D8"/>
    <mergeCell ref="E8:G8"/>
    <mergeCell ref="B44:D44"/>
    <mergeCell ref="E44:G44"/>
    <mergeCell ref="B123:D123"/>
    <mergeCell ref="E123:G123"/>
    <mergeCell ref="A1:L1"/>
    <mergeCell ref="B2:D2"/>
    <mergeCell ref="E2:G2"/>
    <mergeCell ref="H2:I2"/>
    <mergeCell ref="J2:L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0C7A89-16CA-4517-8D0D-452110AD58E4}">
  <sheetPr codeName="Sheet2"/>
  <dimension ref="A1:D8"/>
  <sheetViews>
    <sheetView workbookViewId="0">
      <selection activeCell="E1" sqref="E1"/>
    </sheetView>
  </sheetViews>
  <sheetFormatPr defaultRowHeight="14.4" x14ac:dyDescent="0.55000000000000004"/>
  <cols>
    <col min="1" max="1" width="31.83984375" customWidth="1"/>
    <col min="2" max="2" width="33.9453125" customWidth="1"/>
    <col min="3" max="3" width="8.83984375" customWidth="1"/>
    <col min="4" max="4" width="5.734375" customWidth="1"/>
    <col min="7" max="7" width="31.62890625" customWidth="1"/>
  </cols>
  <sheetData>
    <row r="1" spans="1:4" ht="284.39999999999998" customHeight="1" x14ac:dyDescent="0.55000000000000004">
      <c r="A1" s="203" t="s">
        <v>612</v>
      </c>
      <c r="B1" s="203" t="s">
        <v>786</v>
      </c>
    </row>
    <row r="8" spans="1:4" x14ac:dyDescent="0.55000000000000004">
      <c r="A8" s="227"/>
      <c r="B8" s="227"/>
      <c r="C8" s="227"/>
      <c r="D8" s="227"/>
    </row>
  </sheetData>
  <mergeCells count="1">
    <mergeCell ref="A8:D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18665-1801-4B8D-A0BA-7F225AA25EED}">
  <sheetPr codeName="Sheet9"/>
  <dimension ref="A1:D15"/>
  <sheetViews>
    <sheetView workbookViewId="0">
      <selection activeCell="E3" sqref="E3"/>
    </sheetView>
  </sheetViews>
  <sheetFormatPr defaultRowHeight="14.4" x14ac:dyDescent="0.55000000000000004"/>
  <sheetData>
    <row r="1" spans="1:4" x14ac:dyDescent="0.55000000000000004">
      <c r="A1" s="223" t="s">
        <v>567</v>
      </c>
      <c r="B1" s="219"/>
      <c r="C1" s="219"/>
      <c r="D1" s="219"/>
    </row>
    <row r="2" spans="1:4" x14ac:dyDescent="0.55000000000000004">
      <c r="A2" s="247" t="s">
        <v>563</v>
      </c>
      <c r="B2" s="247"/>
      <c r="C2" s="247"/>
      <c r="D2" s="4" t="b">
        <v>0</v>
      </c>
    </row>
    <row r="3" spans="1:4" x14ac:dyDescent="0.55000000000000004">
      <c r="A3" s="247" t="s">
        <v>564</v>
      </c>
      <c r="B3" s="247"/>
      <c r="C3" s="247"/>
      <c r="D3" s="4" t="b">
        <v>0</v>
      </c>
    </row>
    <row r="4" spans="1:4" x14ac:dyDescent="0.55000000000000004">
      <c r="A4" s="247" t="s">
        <v>565</v>
      </c>
      <c r="B4" s="247"/>
      <c r="C4" s="247"/>
      <c r="D4" s="4" t="b">
        <v>1</v>
      </c>
    </row>
    <row r="5" spans="1:4" x14ac:dyDescent="0.55000000000000004">
      <c r="A5" s="247" t="s">
        <v>566</v>
      </c>
      <c r="B5" s="247"/>
      <c r="C5" s="247"/>
      <c r="D5" s="4" t="b">
        <v>0</v>
      </c>
    </row>
    <row r="6" spans="1:4" x14ac:dyDescent="0.55000000000000004">
      <c r="A6" s="292" t="s">
        <v>611</v>
      </c>
      <c r="B6" s="292"/>
      <c r="C6" s="292"/>
      <c r="D6" s="15" t="b">
        <v>0</v>
      </c>
    </row>
    <row r="7" spans="1:4" x14ac:dyDescent="0.55000000000000004">
      <c r="A7" s="223" t="s">
        <v>620</v>
      </c>
      <c r="B7" s="223"/>
      <c r="C7" s="223"/>
      <c r="D7" s="223"/>
    </row>
    <row r="8" spans="1:4" x14ac:dyDescent="0.55000000000000004">
      <c r="A8" s="247" t="s">
        <v>613</v>
      </c>
      <c r="B8" s="247"/>
      <c r="C8" s="247"/>
      <c r="D8" s="7">
        <v>100</v>
      </c>
    </row>
    <row r="9" spans="1:4" x14ac:dyDescent="0.55000000000000004">
      <c r="A9" s="247" t="s">
        <v>614</v>
      </c>
      <c r="B9" s="247"/>
      <c r="C9" s="247"/>
      <c r="D9" s="7">
        <v>1000</v>
      </c>
    </row>
    <row r="10" spans="1:4" x14ac:dyDescent="0.55000000000000004">
      <c r="A10" s="224" t="s">
        <v>616</v>
      </c>
      <c r="B10" s="225"/>
      <c r="C10" s="234"/>
      <c r="D10" s="7">
        <v>5000</v>
      </c>
    </row>
    <row r="11" spans="1:4" x14ac:dyDescent="0.55000000000000004">
      <c r="A11" s="223" t="s">
        <v>615</v>
      </c>
      <c r="B11" s="223"/>
      <c r="C11" s="223"/>
      <c r="D11" s="223"/>
    </row>
    <row r="12" spans="1:4" x14ac:dyDescent="0.55000000000000004">
      <c r="A12" s="247" t="s">
        <v>625</v>
      </c>
      <c r="B12" s="247"/>
      <c r="C12" s="247"/>
      <c r="D12" s="29">
        <v>0.45</v>
      </c>
    </row>
    <row r="13" spans="1:4" x14ac:dyDescent="0.55000000000000004">
      <c r="A13" s="247" t="s">
        <v>617</v>
      </c>
      <c r="B13" s="247"/>
      <c r="C13" s="247"/>
      <c r="D13" s="4">
        <v>12</v>
      </c>
    </row>
    <row r="14" spans="1:4" x14ac:dyDescent="0.55000000000000004">
      <c r="A14" s="247" t="s">
        <v>618</v>
      </c>
      <c r="B14" s="247"/>
      <c r="C14" s="247"/>
      <c r="D14" s="4">
        <v>6.5</v>
      </c>
    </row>
    <row r="15" spans="1:4" x14ac:dyDescent="0.55000000000000004">
      <c r="A15" s="247" t="s">
        <v>619</v>
      </c>
      <c r="B15" s="247"/>
      <c r="C15" s="247"/>
      <c r="D15" s="4">
        <v>2.73</v>
      </c>
    </row>
  </sheetData>
  <mergeCells count="15">
    <mergeCell ref="A1:D1"/>
    <mergeCell ref="A6:C6"/>
    <mergeCell ref="A2:C2"/>
    <mergeCell ref="A3:C3"/>
    <mergeCell ref="A4:C4"/>
    <mergeCell ref="A5:C5"/>
    <mergeCell ref="A13:C13"/>
    <mergeCell ref="A14:C14"/>
    <mergeCell ref="A15:C15"/>
    <mergeCell ref="A7:D7"/>
    <mergeCell ref="A8:C8"/>
    <mergeCell ref="A9:C9"/>
    <mergeCell ref="A11:D11"/>
    <mergeCell ref="A10:C10"/>
    <mergeCell ref="A12:C12"/>
  </mergeCells>
  <dataValidations count="1">
    <dataValidation type="list" allowBlank="1" showInputMessage="1" showErrorMessage="1" sqref="D2:D6" xr:uid="{26A6112C-0692-44CC-8510-391387E7B5A9}">
      <formula1>"TRUE,FALSE"</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8B4CB7-7BB3-4B76-9EA4-4CB26F5F613A}">
  <sheetPr codeName="Sheet22"/>
  <dimension ref="A1:F292"/>
  <sheetViews>
    <sheetView workbookViewId="0"/>
  </sheetViews>
  <sheetFormatPr defaultRowHeight="14.4" x14ac:dyDescent="0.55000000000000004"/>
  <sheetData>
    <row r="1" spans="1:6" x14ac:dyDescent="0.55000000000000004">
      <c r="A1" t="s">
        <v>682</v>
      </c>
      <c r="B1" t="s">
        <v>683</v>
      </c>
      <c r="C1" t="s">
        <v>666</v>
      </c>
      <c r="D1" t="s">
        <v>684</v>
      </c>
      <c r="E1" t="s">
        <v>731</v>
      </c>
      <c r="F1" t="s">
        <v>803</v>
      </c>
    </row>
    <row r="2" spans="1:6" x14ac:dyDescent="0.55000000000000004">
      <c r="A2" t="s">
        <v>656</v>
      </c>
      <c r="B2" t="s">
        <v>646</v>
      </c>
      <c r="C2">
        <v>0</v>
      </c>
      <c r="D2">
        <v>55000</v>
      </c>
      <c r="E2">
        <v>80000</v>
      </c>
      <c r="F2">
        <v>90000</v>
      </c>
    </row>
    <row r="3" spans="1:6" x14ac:dyDescent="0.55000000000000004">
      <c r="A3" t="s">
        <v>656</v>
      </c>
      <c r="B3" t="s">
        <v>648</v>
      </c>
      <c r="C3">
        <v>0</v>
      </c>
      <c r="D3">
        <v>0</v>
      </c>
      <c r="E3">
        <v>0</v>
      </c>
      <c r="F3">
        <v>0</v>
      </c>
    </row>
    <row r="4" spans="1:6" x14ac:dyDescent="0.55000000000000004">
      <c r="A4" t="s">
        <v>656</v>
      </c>
      <c r="B4" t="s">
        <v>647</v>
      </c>
      <c r="C4">
        <v>0</v>
      </c>
      <c r="D4">
        <v>10</v>
      </c>
      <c r="E4">
        <v>10</v>
      </c>
      <c r="F4">
        <v>10</v>
      </c>
    </row>
    <row r="5" spans="1:6" x14ac:dyDescent="0.55000000000000004">
      <c r="A5" t="s">
        <v>656</v>
      </c>
      <c r="B5" t="s">
        <v>649</v>
      </c>
      <c r="C5">
        <v>0</v>
      </c>
      <c r="D5">
        <v>50000</v>
      </c>
      <c r="E5">
        <v>300000</v>
      </c>
      <c r="F5">
        <v>1000000</v>
      </c>
    </row>
    <row r="6" spans="1:6" x14ac:dyDescent="0.55000000000000004">
      <c r="A6" t="s">
        <v>656</v>
      </c>
      <c r="B6" t="s">
        <v>643</v>
      </c>
      <c r="C6">
        <v>0</v>
      </c>
      <c r="D6">
        <v>0.8</v>
      </c>
      <c r="E6">
        <v>0.7</v>
      </c>
      <c r="F6">
        <v>0.7</v>
      </c>
    </row>
    <row r="7" spans="1:6" x14ac:dyDescent="0.55000000000000004">
      <c r="A7" t="s">
        <v>656</v>
      </c>
      <c r="B7" t="s">
        <v>653</v>
      </c>
      <c r="C7">
        <v>0</v>
      </c>
      <c r="D7">
        <v>0</v>
      </c>
      <c r="E7">
        <v>0</v>
      </c>
      <c r="F7">
        <v>105000</v>
      </c>
    </row>
    <row r="8" spans="1:6" x14ac:dyDescent="0.55000000000000004">
      <c r="A8" t="s">
        <v>656</v>
      </c>
      <c r="B8" t="s">
        <v>644</v>
      </c>
      <c r="C8">
        <v>0</v>
      </c>
      <c r="D8">
        <v>2024</v>
      </c>
      <c r="E8">
        <v>2024</v>
      </c>
      <c r="F8">
        <v>2024</v>
      </c>
    </row>
    <row r="9" spans="1:6" x14ac:dyDescent="0.55000000000000004">
      <c r="A9" t="s">
        <v>656</v>
      </c>
      <c r="B9" t="s">
        <v>645</v>
      </c>
      <c r="C9">
        <v>0</v>
      </c>
      <c r="D9">
        <v>2035</v>
      </c>
      <c r="E9">
        <v>2035</v>
      </c>
      <c r="F9">
        <v>2035</v>
      </c>
    </row>
    <row r="10" spans="1:6" x14ac:dyDescent="0.55000000000000004">
      <c r="A10" t="s">
        <v>656</v>
      </c>
      <c r="B10" t="s">
        <v>651</v>
      </c>
      <c r="C10">
        <v>0</v>
      </c>
      <c r="D10" t="s">
        <v>64</v>
      </c>
      <c r="E10" t="s">
        <v>64</v>
      </c>
      <c r="F10" t="s">
        <v>64</v>
      </c>
    </row>
    <row r="11" spans="1:6" x14ac:dyDescent="0.55000000000000004">
      <c r="A11" t="s">
        <v>656</v>
      </c>
      <c r="B11" t="s">
        <v>631</v>
      </c>
      <c r="C11">
        <v>0</v>
      </c>
      <c r="D11" t="s">
        <v>581</v>
      </c>
      <c r="E11" t="s">
        <v>581</v>
      </c>
      <c r="F11" t="s">
        <v>581</v>
      </c>
    </row>
    <row r="12" spans="1:6" x14ac:dyDescent="0.55000000000000004">
      <c r="A12" t="s">
        <v>656</v>
      </c>
      <c r="B12" t="s">
        <v>632</v>
      </c>
      <c r="C12">
        <v>0</v>
      </c>
      <c r="D12" t="s">
        <v>581</v>
      </c>
      <c r="E12" t="s">
        <v>581</v>
      </c>
      <c r="F12" t="s">
        <v>581</v>
      </c>
    </row>
    <row r="13" spans="1:6" x14ac:dyDescent="0.55000000000000004">
      <c r="A13" t="s">
        <v>656</v>
      </c>
      <c r="B13" t="s">
        <v>818</v>
      </c>
      <c r="C13">
        <v>0</v>
      </c>
      <c r="D13">
        <v>2025</v>
      </c>
      <c r="E13">
        <v>2025</v>
      </c>
      <c r="F13">
        <v>2025</v>
      </c>
    </row>
    <row r="14" spans="1:6" x14ac:dyDescent="0.55000000000000004">
      <c r="A14" t="s">
        <v>657</v>
      </c>
      <c r="B14" t="s">
        <v>633</v>
      </c>
      <c r="C14">
        <v>0</v>
      </c>
      <c r="D14">
        <v>7.3999999999999996E-2</v>
      </c>
      <c r="E14">
        <v>0.05</v>
      </c>
      <c r="F14">
        <v>0.05</v>
      </c>
    </row>
    <row r="15" spans="1:6" x14ac:dyDescent="0.55000000000000004">
      <c r="A15" t="s">
        <v>657</v>
      </c>
      <c r="B15" t="s">
        <v>634</v>
      </c>
      <c r="C15">
        <v>0</v>
      </c>
      <c r="D15">
        <v>3.5000000000000003E-2</v>
      </c>
      <c r="E15">
        <v>3.5000000000000003E-2</v>
      </c>
      <c r="F15">
        <v>3.5000000000000003E-2</v>
      </c>
    </row>
    <row r="16" spans="1:6" x14ac:dyDescent="0.55000000000000004">
      <c r="A16" t="s">
        <v>657</v>
      </c>
      <c r="B16" t="s">
        <v>635</v>
      </c>
      <c r="C16">
        <v>0</v>
      </c>
      <c r="D16">
        <v>0.9</v>
      </c>
      <c r="E16">
        <v>0.9</v>
      </c>
      <c r="F16">
        <v>0.9</v>
      </c>
    </row>
    <row r="17" spans="1:6" x14ac:dyDescent="0.55000000000000004">
      <c r="A17" t="s">
        <v>657</v>
      </c>
      <c r="B17" t="s">
        <v>636</v>
      </c>
      <c r="C17">
        <v>0</v>
      </c>
      <c r="D17">
        <v>0.02</v>
      </c>
      <c r="E17">
        <v>0.03</v>
      </c>
      <c r="F17">
        <v>0.03</v>
      </c>
    </row>
    <row r="18" spans="1:6" x14ac:dyDescent="0.55000000000000004">
      <c r="A18" t="s">
        <v>657</v>
      </c>
      <c r="B18" t="s">
        <v>640</v>
      </c>
      <c r="C18">
        <v>0</v>
      </c>
      <c r="D18" t="s">
        <v>757</v>
      </c>
      <c r="E18" t="s">
        <v>817</v>
      </c>
      <c r="F18" t="s">
        <v>815</v>
      </c>
    </row>
    <row r="19" spans="1:6" x14ac:dyDescent="0.55000000000000004">
      <c r="A19" t="s">
        <v>657</v>
      </c>
      <c r="B19" t="s">
        <v>639</v>
      </c>
      <c r="C19">
        <v>0</v>
      </c>
      <c r="D19">
        <v>1</v>
      </c>
      <c r="E19">
        <v>1</v>
      </c>
      <c r="F19">
        <v>1</v>
      </c>
    </row>
    <row r="20" spans="1:6" x14ac:dyDescent="0.55000000000000004">
      <c r="A20" t="s">
        <v>657</v>
      </c>
      <c r="B20" t="s">
        <v>637</v>
      </c>
      <c r="C20">
        <v>0</v>
      </c>
      <c r="D20">
        <v>85</v>
      </c>
      <c r="E20">
        <v>85</v>
      </c>
      <c r="F20">
        <v>85</v>
      </c>
    </row>
    <row r="21" spans="1:6" x14ac:dyDescent="0.55000000000000004">
      <c r="A21" t="s">
        <v>657</v>
      </c>
      <c r="B21" t="s">
        <v>638</v>
      </c>
      <c r="C21">
        <v>0</v>
      </c>
      <c r="D21">
        <v>95</v>
      </c>
      <c r="E21">
        <v>95</v>
      </c>
      <c r="F21">
        <v>95</v>
      </c>
    </row>
    <row r="22" spans="1:6" x14ac:dyDescent="0.55000000000000004">
      <c r="A22" t="s">
        <v>657</v>
      </c>
      <c r="B22" t="s">
        <v>642</v>
      </c>
      <c r="C22">
        <v>0</v>
      </c>
      <c r="D22">
        <v>1</v>
      </c>
      <c r="E22">
        <v>1</v>
      </c>
      <c r="F22">
        <v>1</v>
      </c>
    </row>
    <row r="23" spans="1:6" x14ac:dyDescent="0.55000000000000004">
      <c r="A23" t="s">
        <v>657</v>
      </c>
      <c r="B23" t="s">
        <v>641</v>
      </c>
      <c r="C23">
        <v>0</v>
      </c>
      <c r="D23">
        <v>2060</v>
      </c>
      <c r="E23">
        <v>2060</v>
      </c>
      <c r="F23">
        <v>2060</v>
      </c>
    </row>
    <row r="24" spans="1:6" x14ac:dyDescent="0.55000000000000004">
      <c r="A24" t="s">
        <v>657</v>
      </c>
      <c r="B24" t="s">
        <v>650</v>
      </c>
      <c r="C24">
        <v>0</v>
      </c>
      <c r="D24" t="s">
        <v>86</v>
      </c>
      <c r="E24" t="s">
        <v>86</v>
      </c>
      <c r="F24" t="s">
        <v>86</v>
      </c>
    </row>
    <row r="25" spans="1:6" x14ac:dyDescent="0.55000000000000004">
      <c r="A25" t="s">
        <v>657</v>
      </c>
      <c r="B25" t="s">
        <v>681</v>
      </c>
      <c r="C25">
        <v>0</v>
      </c>
      <c r="D25" t="s">
        <v>733</v>
      </c>
      <c r="E25" t="s">
        <v>157</v>
      </c>
      <c r="F25" t="s">
        <v>157</v>
      </c>
    </row>
    <row r="26" spans="1:6" x14ac:dyDescent="0.55000000000000004">
      <c r="A26" t="s">
        <v>657</v>
      </c>
      <c r="B26" t="s">
        <v>652</v>
      </c>
      <c r="C26">
        <v>0</v>
      </c>
      <c r="D26">
        <v>0.35</v>
      </c>
      <c r="E26">
        <v>0.35</v>
      </c>
      <c r="F26">
        <v>0.35</v>
      </c>
    </row>
    <row r="27" spans="1:6" x14ac:dyDescent="0.55000000000000004">
      <c r="A27" t="s">
        <v>657</v>
      </c>
      <c r="B27" t="s">
        <v>747</v>
      </c>
      <c r="C27">
        <v>0</v>
      </c>
      <c r="D27">
        <v>2035</v>
      </c>
      <c r="E27">
        <v>2035</v>
      </c>
      <c r="F27">
        <v>2035</v>
      </c>
    </row>
    <row r="28" spans="1:6" x14ac:dyDescent="0.55000000000000004">
      <c r="A28" t="s">
        <v>658</v>
      </c>
      <c r="B28" t="s">
        <v>686</v>
      </c>
      <c r="C28">
        <v>0</v>
      </c>
      <c r="D28">
        <v>4050</v>
      </c>
      <c r="E28">
        <v>4050</v>
      </c>
      <c r="F28">
        <v>4050</v>
      </c>
    </row>
    <row r="29" spans="1:6" x14ac:dyDescent="0.55000000000000004">
      <c r="A29" t="s">
        <v>658</v>
      </c>
      <c r="B29" t="s">
        <v>687</v>
      </c>
      <c r="C29">
        <v>0</v>
      </c>
      <c r="D29">
        <v>29200</v>
      </c>
      <c r="E29">
        <v>29200</v>
      </c>
      <c r="F29">
        <v>29200</v>
      </c>
    </row>
    <row r="30" spans="1:6" x14ac:dyDescent="0.55000000000000004">
      <c r="A30" t="s">
        <v>658</v>
      </c>
      <c r="B30" t="s">
        <v>688</v>
      </c>
      <c r="C30">
        <v>0</v>
      </c>
      <c r="D30">
        <v>174</v>
      </c>
      <c r="E30">
        <v>174</v>
      </c>
      <c r="F30">
        <v>174</v>
      </c>
    </row>
    <row r="31" spans="1:6" x14ac:dyDescent="0.55000000000000004">
      <c r="A31" t="s">
        <v>658</v>
      </c>
      <c r="B31" t="s">
        <v>689</v>
      </c>
      <c r="C31">
        <v>0</v>
      </c>
      <c r="D31">
        <v>60000</v>
      </c>
      <c r="E31">
        <v>120000</v>
      </c>
      <c r="F31">
        <v>300000</v>
      </c>
    </row>
    <row r="32" spans="1:6" x14ac:dyDescent="0.55000000000000004">
      <c r="A32" t="s">
        <v>658</v>
      </c>
      <c r="B32" t="s">
        <v>690</v>
      </c>
      <c r="C32">
        <v>0</v>
      </c>
      <c r="D32">
        <v>360000</v>
      </c>
      <c r="E32">
        <v>720000</v>
      </c>
      <c r="F32">
        <v>1800000</v>
      </c>
    </row>
    <row r="33" spans="1:6" x14ac:dyDescent="0.55000000000000004">
      <c r="A33" t="s">
        <v>658</v>
      </c>
      <c r="B33" t="s">
        <v>691</v>
      </c>
      <c r="C33">
        <v>0</v>
      </c>
      <c r="D33">
        <v>240000</v>
      </c>
      <c r="E33">
        <v>480000</v>
      </c>
      <c r="F33">
        <v>1200000</v>
      </c>
    </row>
    <row r="34" spans="1:6" x14ac:dyDescent="0.55000000000000004">
      <c r="A34" t="s">
        <v>658</v>
      </c>
      <c r="B34" t="s">
        <v>692</v>
      </c>
      <c r="C34">
        <v>0</v>
      </c>
      <c r="D34">
        <v>0</v>
      </c>
      <c r="E34">
        <v>0</v>
      </c>
      <c r="F34">
        <v>0</v>
      </c>
    </row>
    <row r="35" spans="1:6" x14ac:dyDescent="0.55000000000000004">
      <c r="A35" t="s">
        <v>658</v>
      </c>
      <c r="B35" t="s">
        <v>693</v>
      </c>
      <c r="C35">
        <v>0</v>
      </c>
      <c r="D35">
        <v>10000</v>
      </c>
      <c r="E35">
        <v>10000</v>
      </c>
      <c r="F35">
        <v>10000</v>
      </c>
    </row>
    <row r="36" spans="1:6" x14ac:dyDescent="0.55000000000000004">
      <c r="A36" t="s">
        <v>658</v>
      </c>
      <c r="B36" t="s">
        <v>694</v>
      </c>
      <c r="C36">
        <v>0</v>
      </c>
      <c r="D36">
        <v>0</v>
      </c>
      <c r="E36">
        <v>0</v>
      </c>
      <c r="F36">
        <v>0</v>
      </c>
    </row>
    <row r="37" spans="1:6" x14ac:dyDescent="0.55000000000000004">
      <c r="A37" t="s">
        <v>658</v>
      </c>
      <c r="B37" t="s">
        <v>695</v>
      </c>
      <c r="C37">
        <v>0</v>
      </c>
      <c r="D37">
        <v>2024</v>
      </c>
      <c r="E37">
        <v>2023</v>
      </c>
      <c r="F37">
        <v>2023</v>
      </c>
    </row>
    <row r="38" spans="1:6" x14ac:dyDescent="0.55000000000000004">
      <c r="A38" t="s">
        <v>658</v>
      </c>
      <c r="B38" t="s">
        <v>696</v>
      </c>
      <c r="C38">
        <v>0</v>
      </c>
      <c r="D38">
        <v>0</v>
      </c>
      <c r="E38">
        <v>0</v>
      </c>
      <c r="F38">
        <v>0</v>
      </c>
    </row>
    <row r="39" spans="1:6" x14ac:dyDescent="0.55000000000000004">
      <c r="A39" t="s">
        <v>658</v>
      </c>
      <c r="B39" t="s">
        <v>697</v>
      </c>
      <c r="C39">
        <v>0</v>
      </c>
      <c r="D39">
        <v>2024</v>
      </c>
      <c r="E39">
        <v>2024</v>
      </c>
      <c r="F39">
        <v>2024</v>
      </c>
    </row>
    <row r="40" spans="1:6" x14ac:dyDescent="0.55000000000000004">
      <c r="A40" t="s">
        <v>658</v>
      </c>
      <c r="B40" t="s">
        <v>698</v>
      </c>
      <c r="C40">
        <v>0</v>
      </c>
      <c r="D40">
        <v>5000</v>
      </c>
      <c r="E40">
        <v>10000</v>
      </c>
      <c r="F40">
        <v>17500</v>
      </c>
    </row>
    <row r="41" spans="1:6" x14ac:dyDescent="0.55000000000000004">
      <c r="A41" t="s">
        <v>658</v>
      </c>
      <c r="B41" t="s">
        <v>699</v>
      </c>
      <c r="C41">
        <v>0</v>
      </c>
      <c r="D41">
        <v>2028</v>
      </c>
      <c r="E41">
        <v>2028</v>
      </c>
      <c r="F41">
        <v>2028</v>
      </c>
    </row>
    <row r="42" spans="1:6" x14ac:dyDescent="0.55000000000000004">
      <c r="A42" t="s">
        <v>658</v>
      </c>
      <c r="B42" t="s">
        <v>700</v>
      </c>
      <c r="C42">
        <v>0</v>
      </c>
      <c r="D42">
        <v>5000</v>
      </c>
      <c r="E42">
        <v>10000</v>
      </c>
      <c r="F42">
        <v>17500</v>
      </c>
    </row>
    <row r="43" spans="1:6" x14ac:dyDescent="0.55000000000000004">
      <c r="A43" t="s">
        <v>658</v>
      </c>
      <c r="B43" t="s">
        <v>701</v>
      </c>
      <c r="C43">
        <v>0</v>
      </c>
      <c r="D43">
        <v>2028</v>
      </c>
      <c r="E43">
        <v>2028</v>
      </c>
      <c r="F43">
        <v>2028</v>
      </c>
    </row>
    <row r="44" spans="1:6" x14ac:dyDescent="0.55000000000000004">
      <c r="A44" t="s">
        <v>658</v>
      </c>
      <c r="B44" t="s">
        <v>702</v>
      </c>
      <c r="C44">
        <v>0</v>
      </c>
      <c r="D44">
        <v>23012</v>
      </c>
      <c r="E44">
        <v>23012</v>
      </c>
      <c r="F44">
        <v>23012</v>
      </c>
    </row>
    <row r="45" spans="1:6" x14ac:dyDescent="0.55000000000000004">
      <c r="A45" t="s">
        <v>658</v>
      </c>
      <c r="B45" t="s">
        <v>703</v>
      </c>
      <c r="C45">
        <v>0</v>
      </c>
      <c r="D45">
        <v>23012</v>
      </c>
      <c r="E45">
        <v>23012</v>
      </c>
      <c r="F45">
        <v>23012</v>
      </c>
    </row>
    <row r="46" spans="1:6" x14ac:dyDescent="0.55000000000000004">
      <c r="A46" t="s">
        <v>658</v>
      </c>
      <c r="B46" t="s">
        <v>704</v>
      </c>
      <c r="C46">
        <v>0</v>
      </c>
      <c r="D46">
        <v>2025</v>
      </c>
      <c r="E46">
        <v>2024</v>
      </c>
      <c r="F46">
        <v>2025</v>
      </c>
    </row>
    <row r="47" spans="1:6" x14ac:dyDescent="0.55000000000000004">
      <c r="A47" t="s">
        <v>658</v>
      </c>
      <c r="B47" t="s">
        <v>705</v>
      </c>
      <c r="C47">
        <v>0</v>
      </c>
      <c r="D47">
        <v>2025</v>
      </c>
      <c r="E47">
        <v>2024</v>
      </c>
      <c r="F47">
        <v>2025</v>
      </c>
    </row>
    <row r="48" spans="1:6" x14ac:dyDescent="0.55000000000000004">
      <c r="A48" t="s">
        <v>658</v>
      </c>
      <c r="B48" t="s">
        <v>706</v>
      </c>
      <c r="C48">
        <v>0</v>
      </c>
      <c r="D48">
        <v>1</v>
      </c>
      <c r="E48">
        <v>1</v>
      </c>
      <c r="F48">
        <v>1</v>
      </c>
    </row>
    <row r="49" spans="1:6" x14ac:dyDescent="0.55000000000000004">
      <c r="A49" t="s">
        <v>658</v>
      </c>
      <c r="B49" t="s">
        <v>707</v>
      </c>
      <c r="C49">
        <v>0</v>
      </c>
      <c r="D49">
        <v>1</v>
      </c>
      <c r="E49">
        <v>1</v>
      </c>
      <c r="F49">
        <v>1</v>
      </c>
    </row>
    <row r="50" spans="1:6" x14ac:dyDescent="0.55000000000000004">
      <c r="A50" t="s">
        <v>658</v>
      </c>
      <c r="B50" t="s">
        <v>708</v>
      </c>
      <c r="C50">
        <v>0</v>
      </c>
      <c r="D50">
        <v>0</v>
      </c>
      <c r="E50">
        <v>0</v>
      </c>
      <c r="F50">
        <v>0</v>
      </c>
    </row>
    <row r="51" spans="1:6" x14ac:dyDescent="0.55000000000000004">
      <c r="A51" t="s">
        <v>658</v>
      </c>
      <c r="B51" t="s">
        <v>709</v>
      </c>
      <c r="C51">
        <v>0</v>
      </c>
      <c r="D51">
        <v>0</v>
      </c>
      <c r="E51">
        <v>0</v>
      </c>
      <c r="F51">
        <v>0</v>
      </c>
    </row>
    <row r="52" spans="1:6" x14ac:dyDescent="0.55000000000000004">
      <c r="A52" t="s">
        <v>658</v>
      </c>
      <c r="B52" t="s">
        <v>710</v>
      </c>
      <c r="C52">
        <v>0</v>
      </c>
      <c r="D52">
        <v>0</v>
      </c>
      <c r="E52">
        <v>0</v>
      </c>
      <c r="F52">
        <v>0</v>
      </c>
    </row>
    <row r="53" spans="1:6" x14ac:dyDescent="0.55000000000000004">
      <c r="A53" t="s">
        <v>658</v>
      </c>
      <c r="B53" t="s">
        <v>711</v>
      </c>
      <c r="C53">
        <v>0</v>
      </c>
      <c r="D53">
        <v>0</v>
      </c>
      <c r="E53">
        <v>0</v>
      </c>
      <c r="F53">
        <v>0</v>
      </c>
    </row>
    <row r="54" spans="1:6" x14ac:dyDescent="0.55000000000000004">
      <c r="A54" t="s">
        <v>658</v>
      </c>
      <c r="B54" t="s">
        <v>799</v>
      </c>
      <c r="C54">
        <v>0</v>
      </c>
      <c r="F54">
        <v>0</v>
      </c>
    </row>
    <row r="55" spans="1:6" x14ac:dyDescent="0.55000000000000004">
      <c r="A55" t="s">
        <v>658</v>
      </c>
      <c r="B55" t="s">
        <v>800</v>
      </c>
      <c r="C55">
        <v>0</v>
      </c>
      <c r="F55">
        <v>0</v>
      </c>
    </row>
    <row r="56" spans="1:6" x14ac:dyDescent="0.55000000000000004">
      <c r="A56" t="s">
        <v>658</v>
      </c>
      <c r="B56" t="s">
        <v>801</v>
      </c>
      <c r="C56">
        <v>0</v>
      </c>
      <c r="D56">
        <v>1</v>
      </c>
      <c r="E56">
        <v>1</v>
      </c>
      <c r="F56">
        <v>1</v>
      </c>
    </row>
    <row r="57" spans="1:6" x14ac:dyDescent="0.55000000000000004">
      <c r="A57" t="s">
        <v>658</v>
      </c>
      <c r="B57" t="s">
        <v>802</v>
      </c>
      <c r="C57">
        <v>0</v>
      </c>
      <c r="D57">
        <v>1</v>
      </c>
      <c r="E57">
        <v>1</v>
      </c>
      <c r="F57">
        <v>1</v>
      </c>
    </row>
    <row r="58" spans="1:6" x14ac:dyDescent="0.55000000000000004">
      <c r="A58" t="s">
        <v>685</v>
      </c>
      <c r="B58">
        <v>1</v>
      </c>
      <c r="C58">
        <v>1</v>
      </c>
      <c r="D58" t="s">
        <v>445</v>
      </c>
      <c r="E58" t="s">
        <v>445</v>
      </c>
      <c r="F58" t="s">
        <v>445</v>
      </c>
    </row>
    <row r="59" spans="1:6" x14ac:dyDescent="0.55000000000000004">
      <c r="A59" t="s">
        <v>685</v>
      </c>
      <c r="B59">
        <v>1</v>
      </c>
      <c r="C59">
        <v>2</v>
      </c>
      <c r="D59" t="s">
        <v>453</v>
      </c>
      <c r="E59" t="s">
        <v>453</v>
      </c>
      <c r="F59" t="s">
        <v>453</v>
      </c>
    </row>
    <row r="60" spans="1:6" x14ac:dyDescent="0.55000000000000004">
      <c r="A60" t="s">
        <v>659</v>
      </c>
      <c r="B60">
        <v>1</v>
      </c>
      <c r="C60">
        <v>1</v>
      </c>
      <c r="D60">
        <v>62</v>
      </c>
      <c r="E60">
        <v>62</v>
      </c>
      <c r="F60">
        <v>62</v>
      </c>
    </row>
    <row r="61" spans="1:6" x14ac:dyDescent="0.55000000000000004">
      <c r="A61" t="s">
        <v>659</v>
      </c>
      <c r="B61">
        <v>1</v>
      </c>
      <c r="C61">
        <v>2</v>
      </c>
      <c r="D61">
        <v>1342.6666666666667</v>
      </c>
      <c r="E61">
        <v>1943.3333333333335</v>
      </c>
      <c r="F61">
        <v>2491.7066666666669</v>
      </c>
    </row>
    <row r="62" spans="1:6" x14ac:dyDescent="0.55000000000000004">
      <c r="A62" t="s">
        <v>659</v>
      </c>
      <c r="B62">
        <v>2</v>
      </c>
      <c r="C62">
        <v>1</v>
      </c>
      <c r="D62">
        <v>63</v>
      </c>
      <c r="E62">
        <v>63</v>
      </c>
      <c r="F62">
        <v>63</v>
      </c>
    </row>
    <row r="63" spans="1:6" x14ac:dyDescent="0.55000000000000004">
      <c r="A63" t="s">
        <v>659</v>
      </c>
      <c r="B63">
        <v>2</v>
      </c>
      <c r="C63">
        <v>2</v>
      </c>
      <c r="D63">
        <v>1431.3333333333333</v>
      </c>
      <c r="E63">
        <v>2071.6666666666665</v>
      </c>
      <c r="F63">
        <v>2656.2533333333336</v>
      </c>
    </row>
    <row r="64" spans="1:6" x14ac:dyDescent="0.55000000000000004">
      <c r="A64" t="s">
        <v>659</v>
      </c>
      <c r="B64">
        <v>3</v>
      </c>
      <c r="C64">
        <v>1</v>
      </c>
      <c r="D64">
        <v>64</v>
      </c>
      <c r="E64">
        <v>64</v>
      </c>
      <c r="F64">
        <v>64</v>
      </c>
    </row>
    <row r="65" spans="1:6" x14ac:dyDescent="0.55000000000000004">
      <c r="A65" t="s">
        <v>659</v>
      </c>
      <c r="B65">
        <v>3</v>
      </c>
      <c r="C65">
        <v>2</v>
      </c>
      <c r="D65">
        <v>1520</v>
      </c>
      <c r="E65">
        <v>2200</v>
      </c>
      <c r="F65">
        <v>2820.8</v>
      </c>
    </row>
    <row r="66" spans="1:6" x14ac:dyDescent="0.55000000000000004">
      <c r="A66" t="s">
        <v>659</v>
      </c>
      <c r="B66">
        <v>4</v>
      </c>
      <c r="C66">
        <v>1</v>
      </c>
      <c r="D66">
        <v>65</v>
      </c>
      <c r="E66">
        <v>65</v>
      </c>
      <c r="F66">
        <v>65</v>
      </c>
    </row>
    <row r="67" spans="1:6" x14ac:dyDescent="0.55000000000000004">
      <c r="A67" t="s">
        <v>659</v>
      </c>
      <c r="B67">
        <v>4</v>
      </c>
      <c r="C67">
        <v>2</v>
      </c>
      <c r="D67">
        <v>1646.6666666666667</v>
      </c>
      <c r="E67">
        <v>2383.3333333333335</v>
      </c>
      <c r="F67">
        <v>3055.8666666666668</v>
      </c>
    </row>
    <row r="68" spans="1:6" x14ac:dyDescent="0.55000000000000004">
      <c r="A68" t="s">
        <v>659</v>
      </c>
      <c r="B68">
        <v>5</v>
      </c>
      <c r="C68">
        <v>1</v>
      </c>
      <c r="D68">
        <v>66</v>
      </c>
      <c r="E68">
        <v>66</v>
      </c>
      <c r="F68">
        <v>66</v>
      </c>
    </row>
    <row r="69" spans="1:6" x14ac:dyDescent="0.55000000000000004">
      <c r="A69" t="s">
        <v>659</v>
      </c>
      <c r="B69">
        <v>5</v>
      </c>
      <c r="C69">
        <v>2</v>
      </c>
      <c r="D69">
        <v>1773.3333333333333</v>
      </c>
      <c r="E69">
        <v>2566.6666666666665</v>
      </c>
      <c r="F69">
        <v>3290.9333333333334</v>
      </c>
    </row>
    <row r="70" spans="1:6" x14ac:dyDescent="0.55000000000000004">
      <c r="A70" t="s">
        <v>659</v>
      </c>
      <c r="B70">
        <v>6</v>
      </c>
      <c r="C70">
        <v>1</v>
      </c>
      <c r="D70">
        <v>67</v>
      </c>
      <c r="E70">
        <v>67</v>
      </c>
      <c r="F70">
        <v>67</v>
      </c>
    </row>
    <row r="71" spans="1:6" x14ac:dyDescent="0.55000000000000004">
      <c r="A71" t="s">
        <v>659</v>
      </c>
      <c r="B71">
        <v>6</v>
      </c>
      <c r="C71">
        <v>2</v>
      </c>
      <c r="D71">
        <v>1900</v>
      </c>
      <c r="E71">
        <v>2750</v>
      </c>
      <c r="F71">
        <v>3526</v>
      </c>
    </row>
    <row r="72" spans="1:6" x14ac:dyDescent="0.55000000000000004">
      <c r="A72" t="s">
        <v>659</v>
      </c>
      <c r="B72">
        <v>7</v>
      </c>
      <c r="C72">
        <v>1</v>
      </c>
      <c r="D72">
        <v>68</v>
      </c>
      <c r="E72">
        <v>68</v>
      </c>
      <c r="F72">
        <v>68</v>
      </c>
    </row>
    <row r="73" spans="1:6" x14ac:dyDescent="0.55000000000000004">
      <c r="A73" t="s">
        <v>659</v>
      </c>
      <c r="B73">
        <v>7</v>
      </c>
      <c r="C73">
        <v>2</v>
      </c>
      <c r="D73">
        <v>2052</v>
      </c>
      <c r="E73">
        <v>2970</v>
      </c>
      <c r="F73">
        <v>3808.0800000000004</v>
      </c>
    </row>
    <row r="74" spans="1:6" x14ac:dyDescent="0.55000000000000004">
      <c r="A74" t="s">
        <v>659</v>
      </c>
      <c r="B74">
        <v>8</v>
      </c>
      <c r="C74">
        <v>1</v>
      </c>
      <c r="D74">
        <v>69</v>
      </c>
      <c r="E74">
        <v>69</v>
      </c>
      <c r="F74">
        <v>69</v>
      </c>
    </row>
    <row r="75" spans="1:6" x14ac:dyDescent="0.55000000000000004">
      <c r="A75" t="s">
        <v>659</v>
      </c>
      <c r="B75">
        <v>8</v>
      </c>
      <c r="C75">
        <v>2</v>
      </c>
      <c r="D75">
        <v>2204</v>
      </c>
      <c r="E75">
        <v>3190</v>
      </c>
      <c r="F75">
        <v>4090.16</v>
      </c>
    </row>
    <row r="76" spans="1:6" x14ac:dyDescent="0.55000000000000004">
      <c r="A76" t="s">
        <v>659</v>
      </c>
      <c r="B76">
        <v>9</v>
      </c>
      <c r="C76">
        <v>1</v>
      </c>
      <c r="D76">
        <v>70</v>
      </c>
      <c r="E76">
        <v>70</v>
      </c>
      <c r="F76">
        <v>70</v>
      </c>
    </row>
    <row r="77" spans="1:6" x14ac:dyDescent="0.55000000000000004">
      <c r="A77" t="s">
        <v>659</v>
      </c>
      <c r="B77">
        <v>9</v>
      </c>
      <c r="C77">
        <v>2</v>
      </c>
      <c r="D77">
        <v>2356</v>
      </c>
      <c r="E77">
        <v>3410</v>
      </c>
      <c r="F77">
        <v>4372.24</v>
      </c>
    </row>
    <row r="78" spans="1:6" x14ac:dyDescent="0.55000000000000004">
      <c r="A78" t="s">
        <v>660</v>
      </c>
      <c r="B78">
        <v>1</v>
      </c>
      <c r="C78">
        <v>1</v>
      </c>
      <c r="D78">
        <v>62</v>
      </c>
      <c r="E78">
        <v>62</v>
      </c>
      <c r="F78">
        <v>62</v>
      </c>
    </row>
    <row r="79" spans="1:6" x14ac:dyDescent="0.55000000000000004">
      <c r="A79" t="s">
        <v>660</v>
      </c>
      <c r="B79">
        <v>1</v>
      </c>
      <c r="C79">
        <v>2</v>
      </c>
      <c r="D79">
        <v>886.90000000000009</v>
      </c>
      <c r="E79">
        <v>1283.1000000000001</v>
      </c>
      <c r="F79">
        <v>1645.7000000000003</v>
      </c>
    </row>
    <row r="80" spans="1:6" x14ac:dyDescent="0.55000000000000004">
      <c r="A80" t="s">
        <v>660</v>
      </c>
      <c r="B80">
        <v>2</v>
      </c>
      <c r="C80">
        <v>1</v>
      </c>
      <c r="D80">
        <v>63</v>
      </c>
      <c r="E80">
        <v>63</v>
      </c>
      <c r="F80">
        <v>63</v>
      </c>
    </row>
    <row r="81" spans="1:6" x14ac:dyDescent="0.55000000000000004">
      <c r="A81" t="s">
        <v>660</v>
      </c>
      <c r="B81">
        <v>2</v>
      </c>
      <c r="C81">
        <v>2</v>
      </c>
      <c r="D81">
        <v>950.25</v>
      </c>
      <c r="E81">
        <v>1374.75</v>
      </c>
      <c r="F81">
        <v>1763.2500000000002</v>
      </c>
    </row>
    <row r="82" spans="1:6" x14ac:dyDescent="0.55000000000000004">
      <c r="A82" t="s">
        <v>660</v>
      </c>
      <c r="B82">
        <v>3</v>
      </c>
      <c r="C82">
        <v>1</v>
      </c>
      <c r="D82">
        <v>64</v>
      </c>
      <c r="E82">
        <v>64</v>
      </c>
      <c r="F82">
        <v>64</v>
      </c>
    </row>
    <row r="83" spans="1:6" x14ac:dyDescent="0.55000000000000004">
      <c r="A83" t="s">
        <v>660</v>
      </c>
      <c r="B83">
        <v>3</v>
      </c>
      <c r="C83">
        <v>2</v>
      </c>
      <c r="D83">
        <v>1013.6</v>
      </c>
      <c r="E83">
        <v>1466.4</v>
      </c>
      <c r="F83">
        <v>1880.8000000000002</v>
      </c>
    </row>
    <row r="84" spans="1:6" x14ac:dyDescent="0.55000000000000004">
      <c r="A84" t="s">
        <v>660</v>
      </c>
      <c r="B84">
        <v>4</v>
      </c>
      <c r="C84">
        <v>1</v>
      </c>
      <c r="D84">
        <v>65</v>
      </c>
      <c r="E84">
        <v>65</v>
      </c>
      <c r="F84">
        <v>65</v>
      </c>
    </row>
    <row r="85" spans="1:6" x14ac:dyDescent="0.55000000000000004">
      <c r="A85" t="s">
        <v>660</v>
      </c>
      <c r="B85">
        <v>4</v>
      </c>
      <c r="C85">
        <v>2</v>
      </c>
      <c r="D85">
        <v>1098.0666666666666</v>
      </c>
      <c r="E85">
        <v>1588.6000000000001</v>
      </c>
      <c r="F85">
        <v>2037.5333333333333</v>
      </c>
    </row>
    <row r="86" spans="1:6" x14ac:dyDescent="0.55000000000000004">
      <c r="A86" t="s">
        <v>660</v>
      </c>
      <c r="B86">
        <v>5</v>
      </c>
      <c r="C86">
        <v>1</v>
      </c>
      <c r="D86">
        <v>66</v>
      </c>
      <c r="E86">
        <v>66</v>
      </c>
      <c r="F86">
        <v>66</v>
      </c>
    </row>
    <row r="87" spans="1:6" x14ac:dyDescent="0.55000000000000004">
      <c r="A87" t="s">
        <v>660</v>
      </c>
      <c r="B87">
        <v>5</v>
      </c>
      <c r="C87">
        <v>2</v>
      </c>
      <c r="D87">
        <v>1182.5333333333333</v>
      </c>
      <c r="E87">
        <v>1710.8</v>
      </c>
      <c r="F87">
        <v>2194.2666666666669</v>
      </c>
    </row>
    <row r="88" spans="1:6" x14ac:dyDescent="0.55000000000000004">
      <c r="A88" t="s">
        <v>660</v>
      </c>
      <c r="B88">
        <v>6</v>
      </c>
      <c r="C88">
        <v>1</v>
      </c>
      <c r="D88">
        <v>67</v>
      </c>
      <c r="E88">
        <v>67</v>
      </c>
      <c r="F88">
        <v>67</v>
      </c>
    </row>
    <row r="89" spans="1:6" x14ac:dyDescent="0.55000000000000004">
      <c r="A89" t="s">
        <v>660</v>
      </c>
      <c r="B89">
        <v>6</v>
      </c>
      <c r="C89">
        <v>2</v>
      </c>
      <c r="D89">
        <v>1267</v>
      </c>
      <c r="E89">
        <v>1833</v>
      </c>
      <c r="F89">
        <v>2351</v>
      </c>
    </row>
    <row r="90" spans="1:6" x14ac:dyDescent="0.55000000000000004">
      <c r="A90" t="s">
        <v>660</v>
      </c>
      <c r="B90">
        <v>7</v>
      </c>
      <c r="C90">
        <v>1</v>
      </c>
      <c r="D90">
        <v>68</v>
      </c>
      <c r="E90">
        <v>68</v>
      </c>
      <c r="F90">
        <v>68</v>
      </c>
    </row>
    <row r="91" spans="1:6" x14ac:dyDescent="0.55000000000000004">
      <c r="A91" t="s">
        <v>660</v>
      </c>
      <c r="B91">
        <v>7</v>
      </c>
      <c r="C91">
        <v>2</v>
      </c>
      <c r="D91">
        <v>1368.3600000000001</v>
      </c>
      <c r="E91">
        <v>1979.64</v>
      </c>
      <c r="F91">
        <v>2539.0800000000004</v>
      </c>
    </row>
    <row r="92" spans="1:6" x14ac:dyDescent="0.55000000000000004">
      <c r="A92" t="s">
        <v>660</v>
      </c>
      <c r="B92">
        <v>8</v>
      </c>
      <c r="C92">
        <v>1</v>
      </c>
      <c r="D92">
        <v>69</v>
      </c>
      <c r="E92">
        <v>69</v>
      </c>
      <c r="F92">
        <v>69</v>
      </c>
    </row>
    <row r="93" spans="1:6" x14ac:dyDescent="0.55000000000000004">
      <c r="A93" t="s">
        <v>660</v>
      </c>
      <c r="B93">
        <v>8</v>
      </c>
      <c r="C93">
        <v>2</v>
      </c>
      <c r="D93">
        <v>1469.7199999999998</v>
      </c>
      <c r="E93">
        <v>2126.2799999999997</v>
      </c>
      <c r="F93">
        <v>2727.16</v>
      </c>
    </row>
    <row r="94" spans="1:6" x14ac:dyDescent="0.55000000000000004">
      <c r="A94" t="s">
        <v>660</v>
      </c>
      <c r="B94">
        <v>9</v>
      </c>
      <c r="C94">
        <v>1</v>
      </c>
      <c r="D94">
        <v>70</v>
      </c>
      <c r="E94">
        <v>70</v>
      </c>
      <c r="F94">
        <v>70</v>
      </c>
    </row>
    <row r="95" spans="1:6" x14ac:dyDescent="0.55000000000000004">
      <c r="A95" t="s">
        <v>660</v>
      </c>
      <c r="B95">
        <v>9</v>
      </c>
      <c r="C95">
        <v>2</v>
      </c>
      <c r="D95">
        <v>1571.08</v>
      </c>
      <c r="E95">
        <v>2272.92</v>
      </c>
      <c r="F95">
        <v>2915.24</v>
      </c>
    </row>
    <row r="96" spans="1:6" x14ac:dyDescent="0.55000000000000004">
      <c r="A96" t="s">
        <v>712</v>
      </c>
      <c r="B96">
        <v>1</v>
      </c>
      <c r="C96">
        <v>1</v>
      </c>
      <c r="D96">
        <v>0.1</v>
      </c>
      <c r="E96">
        <v>0.1</v>
      </c>
      <c r="F96">
        <v>0.1</v>
      </c>
    </row>
    <row r="97" spans="1:6" x14ac:dyDescent="0.55000000000000004">
      <c r="A97" t="s">
        <v>712</v>
      </c>
      <c r="B97">
        <v>1</v>
      </c>
      <c r="C97">
        <v>2</v>
      </c>
      <c r="D97">
        <v>0.1</v>
      </c>
      <c r="E97">
        <v>0.1</v>
      </c>
      <c r="F97">
        <v>0.1</v>
      </c>
    </row>
    <row r="98" spans="1:6" x14ac:dyDescent="0.55000000000000004">
      <c r="A98" t="s">
        <v>712</v>
      </c>
      <c r="B98">
        <v>1</v>
      </c>
      <c r="C98">
        <v>3</v>
      </c>
      <c r="D98">
        <v>0.1</v>
      </c>
      <c r="E98">
        <v>0.1</v>
      </c>
      <c r="F98">
        <v>0.1</v>
      </c>
    </row>
    <row r="99" spans="1:6" x14ac:dyDescent="0.55000000000000004">
      <c r="A99" t="s">
        <v>712</v>
      </c>
      <c r="B99">
        <v>1</v>
      </c>
      <c r="C99">
        <v>4</v>
      </c>
      <c r="D99">
        <v>0.1</v>
      </c>
      <c r="E99">
        <v>0.1</v>
      </c>
      <c r="F99">
        <v>0.1</v>
      </c>
    </row>
    <row r="100" spans="1:6" x14ac:dyDescent="0.55000000000000004">
      <c r="A100" t="s">
        <v>712</v>
      </c>
      <c r="B100">
        <v>1</v>
      </c>
      <c r="C100">
        <v>5</v>
      </c>
      <c r="D100">
        <v>0.1</v>
      </c>
      <c r="E100">
        <v>0.1</v>
      </c>
      <c r="F100">
        <v>0.1</v>
      </c>
    </row>
    <row r="101" spans="1:6" x14ac:dyDescent="0.55000000000000004">
      <c r="A101" t="s">
        <v>712</v>
      </c>
      <c r="B101">
        <v>2</v>
      </c>
      <c r="C101">
        <v>1</v>
      </c>
      <c r="D101">
        <v>0.12</v>
      </c>
      <c r="E101">
        <v>0.12</v>
      </c>
      <c r="F101">
        <v>0.12</v>
      </c>
    </row>
    <row r="102" spans="1:6" x14ac:dyDescent="0.55000000000000004">
      <c r="A102" t="s">
        <v>712</v>
      </c>
      <c r="B102">
        <v>2</v>
      </c>
      <c r="C102">
        <v>2</v>
      </c>
      <c r="D102">
        <v>0.15</v>
      </c>
      <c r="E102">
        <v>0.15</v>
      </c>
      <c r="F102">
        <v>0.15</v>
      </c>
    </row>
    <row r="103" spans="1:6" x14ac:dyDescent="0.55000000000000004">
      <c r="A103" t="s">
        <v>712</v>
      </c>
      <c r="B103">
        <v>2</v>
      </c>
      <c r="C103">
        <v>3</v>
      </c>
      <c r="D103">
        <v>0.17</v>
      </c>
      <c r="E103">
        <v>0.17</v>
      </c>
      <c r="F103">
        <v>0.17</v>
      </c>
    </row>
    <row r="104" spans="1:6" x14ac:dyDescent="0.55000000000000004">
      <c r="A104" t="s">
        <v>712</v>
      </c>
      <c r="B104">
        <v>2</v>
      </c>
      <c r="C104">
        <v>4</v>
      </c>
      <c r="D104">
        <v>0.12</v>
      </c>
      <c r="E104">
        <v>0.12</v>
      </c>
      <c r="F104">
        <v>0.12</v>
      </c>
    </row>
    <row r="105" spans="1:6" x14ac:dyDescent="0.55000000000000004">
      <c r="A105" t="s">
        <v>712</v>
      </c>
      <c r="B105">
        <v>2</v>
      </c>
      <c r="C105">
        <v>5</v>
      </c>
      <c r="D105">
        <v>0.15</v>
      </c>
      <c r="E105">
        <v>0.15</v>
      </c>
      <c r="F105">
        <v>0.15</v>
      </c>
    </row>
    <row r="106" spans="1:6" x14ac:dyDescent="0.55000000000000004">
      <c r="A106" t="s">
        <v>712</v>
      </c>
      <c r="B106">
        <v>3</v>
      </c>
      <c r="C106">
        <v>1</v>
      </c>
      <c r="D106">
        <v>0.22</v>
      </c>
      <c r="E106">
        <v>0.22</v>
      </c>
      <c r="F106">
        <v>0.22</v>
      </c>
    </row>
    <row r="107" spans="1:6" x14ac:dyDescent="0.55000000000000004">
      <c r="A107" t="s">
        <v>712</v>
      </c>
      <c r="B107">
        <v>3</v>
      </c>
      <c r="C107">
        <v>2</v>
      </c>
      <c r="D107">
        <v>0.25</v>
      </c>
      <c r="E107">
        <v>0.25</v>
      </c>
      <c r="F107">
        <v>0.25</v>
      </c>
    </row>
    <row r="108" spans="1:6" x14ac:dyDescent="0.55000000000000004">
      <c r="A108" t="s">
        <v>712</v>
      </c>
      <c r="B108">
        <v>3</v>
      </c>
      <c r="C108">
        <v>3</v>
      </c>
      <c r="D108">
        <v>0.27</v>
      </c>
      <c r="E108">
        <v>0.27</v>
      </c>
      <c r="F108">
        <v>0.27</v>
      </c>
    </row>
    <row r="109" spans="1:6" x14ac:dyDescent="0.55000000000000004">
      <c r="A109" t="s">
        <v>712</v>
      </c>
      <c r="B109">
        <v>3</v>
      </c>
      <c r="C109">
        <v>4</v>
      </c>
      <c r="D109">
        <v>0.22</v>
      </c>
      <c r="E109">
        <v>0.22</v>
      </c>
      <c r="F109">
        <v>0.22</v>
      </c>
    </row>
    <row r="110" spans="1:6" x14ac:dyDescent="0.55000000000000004">
      <c r="A110" t="s">
        <v>712</v>
      </c>
      <c r="B110">
        <v>3</v>
      </c>
      <c r="C110">
        <v>5</v>
      </c>
      <c r="D110">
        <v>0.25</v>
      </c>
      <c r="E110">
        <v>0.25</v>
      </c>
      <c r="F110">
        <v>0.25</v>
      </c>
    </row>
    <row r="111" spans="1:6" x14ac:dyDescent="0.55000000000000004">
      <c r="A111" t="s">
        <v>712</v>
      </c>
      <c r="B111">
        <v>4</v>
      </c>
      <c r="C111">
        <v>1</v>
      </c>
      <c r="D111">
        <v>0.24</v>
      </c>
      <c r="E111">
        <v>0.24</v>
      </c>
      <c r="F111">
        <v>0.24</v>
      </c>
    </row>
    <row r="112" spans="1:6" x14ac:dyDescent="0.55000000000000004">
      <c r="A112" t="s">
        <v>712</v>
      </c>
      <c r="B112">
        <v>4</v>
      </c>
      <c r="C112">
        <v>2</v>
      </c>
      <c r="D112">
        <v>0.28000000000000003</v>
      </c>
      <c r="E112">
        <v>0.28000000000000003</v>
      </c>
      <c r="F112">
        <v>0.28000000000000003</v>
      </c>
    </row>
    <row r="113" spans="1:6" x14ac:dyDescent="0.55000000000000004">
      <c r="A113" t="s">
        <v>712</v>
      </c>
      <c r="B113">
        <v>4</v>
      </c>
      <c r="C113">
        <v>3</v>
      </c>
      <c r="D113">
        <v>0.3</v>
      </c>
      <c r="E113">
        <v>0.3</v>
      </c>
      <c r="F113">
        <v>0.3</v>
      </c>
    </row>
    <row r="114" spans="1:6" x14ac:dyDescent="0.55000000000000004">
      <c r="A114" t="s">
        <v>712</v>
      </c>
      <c r="B114">
        <v>4</v>
      </c>
      <c r="C114">
        <v>4</v>
      </c>
      <c r="D114">
        <v>0.24</v>
      </c>
      <c r="E114">
        <v>0.24</v>
      </c>
      <c r="F114">
        <v>0.24</v>
      </c>
    </row>
    <row r="115" spans="1:6" x14ac:dyDescent="0.55000000000000004">
      <c r="A115" t="s">
        <v>712</v>
      </c>
      <c r="B115">
        <v>4</v>
      </c>
      <c r="C115">
        <v>5</v>
      </c>
      <c r="D115">
        <v>0.28000000000000003</v>
      </c>
      <c r="E115">
        <v>0.28000000000000003</v>
      </c>
      <c r="F115">
        <v>0.28000000000000003</v>
      </c>
    </row>
    <row r="116" spans="1:6" x14ac:dyDescent="0.55000000000000004">
      <c r="A116" t="s">
        <v>712</v>
      </c>
      <c r="B116">
        <v>5</v>
      </c>
      <c r="C116">
        <v>1</v>
      </c>
      <c r="D116">
        <v>0.32</v>
      </c>
      <c r="E116">
        <v>0.32</v>
      </c>
      <c r="F116">
        <v>0.32</v>
      </c>
    </row>
    <row r="117" spans="1:6" x14ac:dyDescent="0.55000000000000004">
      <c r="A117" t="s">
        <v>712</v>
      </c>
      <c r="B117">
        <v>5</v>
      </c>
      <c r="C117">
        <v>2</v>
      </c>
      <c r="D117">
        <v>0.33</v>
      </c>
      <c r="E117">
        <v>0.33</v>
      </c>
      <c r="F117">
        <v>0.33</v>
      </c>
    </row>
    <row r="118" spans="1:6" x14ac:dyDescent="0.55000000000000004">
      <c r="A118" t="s">
        <v>712</v>
      </c>
      <c r="B118">
        <v>5</v>
      </c>
      <c r="C118">
        <v>3</v>
      </c>
      <c r="D118">
        <v>0.35</v>
      </c>
      <c r="E118">
        <v>0.35</v>
      </c>
      <c r="F118">
        <v>0.35</v>
      </c>
    </row>
    <row r="119" spans="1:6" x14ac:dyDescent="0.55000000000000004">
      <c r="A119" t="s">
        <v>712</v>
      </c>
      <c r="B119">
        <v>5</v>
      </c>
      <c r="C119">
        <v>4</v>
      </c>
      <c r="D119">
        <v>0.32</v>
      </c>
      <c r="E119">
        <v>0.32</v>
      </c>
      <c r="F119">
        <v>0.32</v>
      </c>
    </row>
    <row r="120" spans="1:6" x14ac:dyDescent="0.55000000000000004">
      <c r="A120" t="s">
        <v>712</v>
      </c>
      <c r="B120">
        <v>5</v>
      </c>
      <c r="C120">
        <v>5</v>
      </c>
      <c r="D120">
        <v>0.33</v>
      </c>
      <c r="E120">
        <v>0.33</v>
      </c>
      <c r="F120">
        <v>0.33</v>
      </c>
    </row>
    <row r="121" spans="1:6" x14ac:dyDescent="0.55000000000000004">
      <c r="A121" t="s">
        <v>712</v>
      </c>
      <c r="B121">
        <v>6</v>
      </c>
      <c r="C121">
        <v>1</v>
      </c>
      <c r="D121">
        <v>0.35</v>
      </c>
      <c r="E121">
        <v>0.35</v>
      </c>
      <c r="F121">
        <v>0.35</v>
      </c>
    </row>
    <row r="122" spans="1:6" x14ac:dyDescent="0.55000000000000004">
      <c r="A122" t="s">
        <v>712</v>
      </c>
      <c r="B122">
        <v>6</v>
      </c>
      <c r="C122">
        <v>2</v>
      </c>
      <c r="D122">
        <v>0.35</v>
      </c>
      <c r="E122">
        <v>0.35</v>
      </c>
      <c r="F122">
        <v>0.35</v>
      </c>
    </row>
    <row r="123" spans="1:6" x14ac:dyDescent="0.55000000000000004">
      <c r="A123" t="s">
        <v>712</v>
      </c>
      <c r="B123">
        <v>6</v>
      </c>
      <c r="C123">
        <v>3</v>
      </c>
      <c r="D123">
        <v>0.37</v>
      </c>
      <c r="E123">
        <v>0.37</v>
      </c>
      <c r="F123">
        <v>0.37</v>
      </c>
    </row>
    <row r="124" spans="1:6" x14ac:dyDescent="0.55000000000000004">
      <c r="A124" t="s">
        <v>712</v>
      </c>
      <c r="B124">
        <v>6</v>
      </c>
      <c r="C124">
        <v>4</v>
      </c>
      <c r="D124">
        <v>0.35</v>
      </c>
      <c r="E124">
        <v>0.35</v>
      </c>
      <c r="F124">
        <v>0.35</v>
      </c>
    </row>
    <row r="125" spans="1:6" x14ac:dyDescent="0.55000000000000004">
      <c r="A125" t="s">
        <v>712</v>
      </c>
      <c r="B125">
        <v>6</v>
      </c>
      <c r="C125">
        <v>5</v>
      </c>
      <c r="D125">
        <v>0.35</v>
      </c>
      <c r="E125">
        <v>0.35</v>
      </c>
      <c r="F125">
        <v>0.35</v>
      </c>
    </row>
    <row r="126" spans="1:6" x14ac:dyDescent="0.55000000000000004">
      <c r="A126" t="s">
        <v>667</v>
      </c>
      <c r="B126">
        <v>1</v>
      </c>
      <c r="C126">
        <v>1</v>
      </c>
      <c r="D126">
        <v>1E-3</v>
      </c>
      <c r="E126">
        <v>1E-3</v>
      </c>
      <c r="F126">
        <v>1E-3</v>
      </c>
    </row>
    <row r="127" spans="1:6" x14ac:dyDescent="0.55000000000000004">
      <c r="A127" t="s">
        <v>667</v>
      </c>
      <c r="B127">
        <v>2</v>
      </c>
      <c r="C127">
        <v>1</v>
      </c>
      <c r="D127">
        <v>0</v>
      </c>
      <c r="E127">
        <v>0</v>
      </c>
      <c r="F127">
        <v>0</v>
      </c>
    </row>
    <row r="128" spans="1:6" x14ac:dyDescent="0.55000000000000004">
      <c r="A128" t="s">
        <v>667</v>
      </c>
      <c r="B128">
        <v>3</v>
      </c>
      <c r="C128">
        <v>1</v>
      </c>
      <c r="D128">
        <v>1.6000000000000001E-3</v>
      </c>
      <c r="E128">
        <v>1.6000000000000001E-3</v>
      </c>
      <c r="F128">
        <v>1.6000000000000001E-3</v>
      </c>
    </row>
    <row r="129" spans="1:6" x14ac:dyDescent="0.55000000000000004">
      <c r="A129" t="s">
        <v>667</v>
      </c>
      <c r="B129">
        <v>4</v>
      </c>
      <c r="C129">
        <v>1</v>
      </c>
      <c r="D129">
        <v>6.1999999999999998E-3</v>
      </c>
      <c r="E129">
        <v>6.1999999999999998E-3</v>
      </c>
      <c r="F129">
        <v>6.1999999999999998E-3</v>
      </c>
    </row>
    <row r="130" spans="1:6" x14ac:dyDescent="0.55000000000000004">
      <c r="A130" t="s">
        <v>667</v>
      </c>
      <c r="B130">
        <v>5</v>
      </c>
      <c r="C130">
        <v>1</v>
      </c>
      <c r="D130">
        <v>1.1000000000000001E-3</v>
      </c>
      <c r="E130">
        <v>1.1000000000000001E-3</v>
      </c>
      <c r="F130">
        <v>1.1000000000000001E-3</v>
      </c>
    </row>
    <row r="131" spans="1:6" x14ac:dyDescent="0.55000000000000004">
      <c r="A131" t="s">
        <v>667</v>
      </c>
      <c r="B131">
        <v>6</v>
      </c>
      <c r="C131">
        <v>1</v>
      </c>
      <c r="D131">
        <v>1.3299999999999999E-2</v>
      </c>
      <c r="E131">
        <v>1.3299999999999999E-2</v>
      </c>
      <c r="F131">
        <v>1.3299999999999999E-2</v>
      </c>
    </row>
    <row r="132" spans="1:6" x14ac:dyDescent="0.55000000000000004">
      <c r="A132" t="s">
        <v>667</v>
      </c>
      <c r="B132">
        <v>7</v>
      </c>
      <c r="C132">
        <v>1</v>
      </c>
      <c r="D132">
        <v>2.4E-2</v>
      </c>
      <c r="E132">
        <v>2.4E-2</v>
      </c>
      <c r="F132">
        <v>2.4E-2</v>
      </c>
    </row>
    <row r="133" spans="1:6" x14ac:dyDescent="0.55000000000000004">
      <c r="A133" t="s">
        <v>667</v>
      </c>
      <c r="B133">
        <v>8</v>
      </c>
      <c r="C133">
        <v>1</v>
      </c>
      <c r="D133">
        <v>1.6999999999999999E-3</v>
      </c>
      <c r="E133">
        <v>1.6999999999999999E-3</v>
      </c>
      <c r="F133">
        <v>1.6999999999999999E-3</v>
      </c>
    </row>
    <row r="134" spans="1:6" x14ac:dyDescent="0.55000000000000004">
      <c r="A134" t="s">
        <v>667</v>
      </c>
      <c r="B134">
        <v>9</v>
      </c>
      <c r="C134">
        <v>1</v>
      </c>
      <c r="D134">
        <v>2.2000000000000001E-3</v>
      </c>
      <c r="E134">
        <v>2.2000000000000001E-3</v>
      </c>
      <c r="F134">
        <v>2.2000000000000001E-3</v>
      </c>
    </row>
    <row r="135" spans="1:6" x14ac:dyDescent="0.55000000000000004">
      <c r="A135" t="s">
        <v>667</v>
      </c>
      <c r="B135">
        <v>10</v>
      </c>
      <c r="C135">
        <v>1</v>
      </c>
      <c r="D135">
        <v>0</v>
      </c>
      <c r="E135">
        <v>0</v>
      </c>
      <c r="F135">
        <v>0</v>
      </c>
    </row>
    <row r="136" spans="1:6" x14ac:dyDescent="0.55000000000000004">
      <c r="A136" t="s">
        <v>667</v>
      </c>
      <c r="B136">
        <v>11</v>
      </c>
      <c r="C136">
        <v>1</v>
      </c>
      <c r="D136">
        <v>0</v>
      </c>
      <c r="E136">
        <v>0</v>
      </c>
      <c r="F136">
        <v>0</v>
      </c>
    </row>
    <row r="137" spans="1:6" x14ac:dyDescent="0.55000000000000004">
      <c r="A137" t="s">
        <v>667</v>
      </c>
      <c r="B137">
        <v>12</v>
      </c>
      <c r="C137">
        <v>1</v>
      </c>
      <c r="D137">
        <v>1.5699999999999999E-2</v>
      </c>
      <c r="E137">
        <v>1.5699999999999999E-2</v>
      </c>
      <c r="F137">
        <v>1.5699999999999999E-2</v>
      </c>
    </row>
    <row r="138" spans="1:6" x14ac:dyDescent="0.55000000000000004">
      <c r="A138" t="s">
        <v>667</v>
      </c>
      <c r="B138">
        <v>13</v>
      </c>
      <c r="C138">
        <v>1</v>
      </c>
      <c r="D138">
        <v>0</v>
      </c>
      <c r="E138">
        <v>0</v>
      </c>
      <c r="F138">
        <v>0</v>
      </c>
    </row>
    <row r="139" spans="1:6" x14ac:dyDescent="0.55000000000000004">
      <c r="A139" t="s">
        <v>667</v>
      </c>
      <c r="B139">
        <v>14</v>
      </c>
      <c r="C139">
        <v>1</v>
      </c>
      <c r="D139">
        <v>1.23E-2</v>
      </c>
      <c r="E139">
        <v>1.23E-2</v>
      </c>
      <c r="F139">
        <v>1.23E-2</v>
      </c>
    </row>
    <row r="140" spans="1:6" x14ac:dyDescent="0.55000000000000004">
      <c r="A140" t="s">
        <v>667</v>
      </c>
      <c r="B140">
        <v>15</v>
      </c>
      <c r="C140">
        <v>1</v>
      </c>
      <c r="D140">
        <v>0</v>
      </c>
      <c r="E140">
        <v>0</v>
      </c>
      <c r="F140">
        <v>0</v>
      </c>
    </row>
    <row r="141" spans="1:6" x14ac:dyDescent="0.55000000000000004">
      <c r="A141" t="s">
        <v>202</v>
      </c>
      <c r="C141" t="s">
        <v>818</v>
      </c>
      <c r="D141">
        <v>2025</v>
      </c>
      <c r="E141">
        <v>2025</v>
      </c>
      <c r="F141">
        <v>2025</v>
      </c>
    </row>
    <row r="142" spans="1:6" x14ac:dyDescent="0.55000000000000004">
      <c r="A142" t="s">
        <v>202</v>
      </c>
      <c r="B142" t="s">
        <v>44</v>
      </c>
      <c r="C142" t="s">
        <v>633</v>
      </c>
      <c r="D142">
        <v>0.05</v>
      </c>
      <c r="E142">
        <v>0.05</v>
      </c>
      <c r="F142">
        <v>0.05</v>
      </c>
    </row>
    <row r="143" spans="1:6" x14ac:dyDescent="0.55000000000000004">
      <c r="A143" t="s">
        <v>202</v>
      </c>
      <c r="B143" t="s">
        <v>44</v>
      </c>
      <c r="C143" t="s">
        <v>633</v>
      </c>
      <c r="D143">
        <v>0.03</v>
      </c>
      <c r="E143">
        <v>0.03</v>
      </c>
      <c r="F143">
        <v>0.03</v>
      </c>
    </row>
    <row r="144" spans="1:6" x14ac:dyDescent="0.55000000000000004">
      <c r="A144" t="s">
        <v>202</v>
      </c>
      <c r="B144" t="s">
        <v>44</v>
      </c>
      <c r="C144" t="s">
        <v>633</v>
      </c>
      <c r="D144">
        <v>7.3999999999999996E-2</v>
      </c>
      <c r="E144">
        <v>7.3999999999999996E-2</v>
      </c>
      <c r="F144">
        <v>7.3999999999999996E-2</v>
      </c>
    </row>
    <row r="145" spans="1:6" x14ac:dyDescent="0.55000000000000004">
      <c r="A145" t="s">
        <v>202</v>
      </c>
      <c r="B145" t="s">
        <v>820</v>
      </c>
      <c r="C145" t="s">
        <v>818</v>
      </c>
      <c r="D145">
        <v>2025</v>
      </c>
      <c r="E145">
        <v>2025</v>
      </c>
      <c r="F145">
        <v>2025</v>
      </c>
    </row>
    <row r="146" spans="1:6" x14ac:dyDescent="0.55000000000000004">
      <c r="A146" t="s">
        <v>202</v>
      </c>
      <c r="B146" t="s">
        <v>820</v>
      </c>
      <c r="C146" t="s">
        <v>818</v>
      </c>
      <c r="D146">
        <v>2027</v>
      </c>
      <c r="E146">
        <v>2027</v>
      </c>
      <c r="F146">
        <v>2027</v>
      </c>
    </row>
    <row r="147" spans="1:6" x14ac:dyDescent="0.55000000000000004">
      <c r="A147" t="s">
        <v>202</v>
      </c>
      <c r="B147" t="s">
        <v>820</v>
      </c>
      <c r="C147" t="s">
        <v>818</v>
      </c>
      <c r="D147">
        <v>2029</v>
      </c>
      <c r="E147">
        <v>2029</v>
      </c>
      <c r="F147">
        <v>2029</v>
      </c>
    </row>
    <row r="148" spans="1:6" x14ac:dyDescent="0.55000000000000004">
      <c r="A148" t="s">
        <v>202</v>
      </c>
      <c r="C148" t="s">
        <v>631</v>
      </c>
      <c r="D148" t="s">
        <v>581</v>
      </c>
      <c r="E148" t="s">
        <v>581</v>
      </c>
      <c r="F148" t="s">
        <v>581</v>
      </c>
    </row>
    <row r="149" spans="1:6" x14ac:dyDescent="0.55000000000000004">
      <c r="A149" t="s">
        <v>202</v>
      </c>
      <c r="B149" t="s">
        <v>586</v>
      </c>
      <c r="C149" t="s">
        <v>631</v>
      </c>
      <c r="D149" t="s">
        <v>580</v>
      </c>
      <c r="E149" t="s">
        <v>580</v>
      </c>
      <c r="F149" t="s">
        <v>580</v>
      </c>
    </row>
    <row r="150" spans="1:6" x14ac:dyDescent="0.55000000000000004">
      <c r="A150" t="s">
        <v>202</v>
      </c>
      <c r="B150" t="s">
        <v>586</v>
      </c>
      <c r="C150" t="s">
        <v>631</v>
      </c>
      <c r="D150" t="s">
        <v>593</v>
      </c>
      <c r="E150" t="s">
        <v>593</v>
      </c>
      <c r="F150" t="s">
        <v>593</v>
      </c>
    </row>
    <row r="151" spans="1:6" x14ac:dyDescent="0.55000000000000004">
      <c r="A151" t="s">
        <v>202</v>
      </c>
      <c r="B151" t="s">
        <v>586</v>
      </c>
      <c r="C151" t="s">
        <v>631</v>
      </c>
      <c r="D151" t="s">
        <v>587</v>
      </c>
      <c r="E151" t="s">
        <v>587</v>
      </c>
      <c r="F151" t="s">
        <v>587</v>
      </c>
    </row>
    <row r="152" spans="1:6" x14ac:dyDescent="0.55000000000000004">
      <c r="A152" t="s">
        <v>202</v>
      </c>
      <c r="B152" t="s">
        <v>586</v>
      </c>
      <c r="C152" t="s">
        <v>631</v>
      </c>
      <c r="D152" t="s">
        <v>582</v>
      </c>
      <c r="E152" t="s">
        <v>582</v>
      </c>
      <c r="F152" t="s">
        <v>582</v>
      </c>
    </row>
    <row r="153" spans="1:6" x14ac:dyDescent="0.55000000000000004">
      <c r="A153" t="s">
        <v>202</v>
      </c>
      <c r="B153" t="s">
        <v>586</v>
      </c>
      <c r="C153" t="s">
        <v>631</v>
      </c>
      <c r="D153" t="s">
        <v>629</v>
      </c>
      <c r="E153" t="s">
        <v>629</v>
      </c>
      <c r="F153" t="s">
        <v>629</v>
      </c>
    </row>
    <row r="154" spans="1:6" x14ac:dyDescent="0.55000000000000004">
      <c r="A154" t="s">
        <v>202</v>
      </c>
      <c r="B154" t="s">
        <v>586</v>
      </c>
      <c r="C154" t="s">
        <v>631</v>
      </c>
      <c r="D154" t="s">
        <v>630</v>
      </c>
      <c r="E154" t="s">
        <v>630</v>
      </c>
      <c r="F154" t="s">
        <v>630</v>
      </c>
    </row>
    <row r="155" spans="1:6" x14ac:dyDescent="0.55000000000000004">
      <c r="A155" t="s">
        <v>202</v>
      </c>
      <c r="C155" t="s">
        <v>632</v>
      </c>
      <c r="D155" t="s">
        <v>581</v>
      </c>
      <c r="E155" t="s">
        <v>581</v>
      </c>
      <c r="F155" t="s">
        <v>581</v>
      </c>
    </row>
    <row r="156" spans="1:6" x14ac:dyDescent="0.55000000000000004">
      <c r="A156" t="s">
        <v>202</v>
      </c>
      <c r="B156" t="s">
        <v>820</v>
      </c>
      <c r="C156" t="s">
        <v>632</v>
      </c>
      <c r="D156" t="s">
        <v>621</v>
      </c>
      <c r="E156" t="s">
        <v>621</v>
      </c>
      <c r="F156" t="s">
        <v>621</v>
      </c>
    </row>
    <row r="157" spans="1:6" x14ac:dyDescent="0.55000000000000004">
      <c r="A157" t="s">
        <v>202</v>
      </c>
      <c r="B157" t="s">
        <v>627</v>
      </c>
      <c r="C157" t="s">
        <v>632</v>
      </c>
      <c r="D157" t="s">
        <v>621</v>
      </c>
      <c r="E157" t="s">
        <v>621</v>
      </c>
      <c r="F157" t="s">
        <v>621</v>
      </c>
    </row>
    <row r="158" spans="1:6" x14ac:dyDescent="0.55000000000000004">
      <c r="A158" t="s">
        <v>202</v>
      </c>
      <c r="B158" t="s">
        <v>754</v>
      </c>
      <c r="C158" t="s">
        <v>632</v>
      </c>
      <c r="D158" t="s">
        <v>621</v>
      </c>
      <c r="E158" t="s">
        <v>621</v>
      </c>
      <c r="F158" t="s">
        <v>621</v>
      </c>
    </row>
    <row r="159" spans="1:6" x14ac:dyDescent="0.55000000000000004">
      <c r="A159" t="s">
        <v>202</v>
      </c>
      <c r="B159" t="s">
        <v>820</v>
      </c>
      <c r="C159" t="s">
        <v>633</v>
      </c>
      <c r="D159">
        <v>0.05</v>
      </c>
      <c r="E159">
        <v>0.05</v>
      </c>
      <c r="F159">
        <v>0.05</v>
      </c>
    </row>
    <row r="160" spans="1:6" x14ac:dyDescent="0.55000000000000004">
      <c r="A160" t="s">
        <v>202</v>
      </c>
      <c r="B160" t="s">
        <v>820</v>
      </c>
      <c r="C160" t="s">
        <v>633</v>
      </c>
      <c r="D160">
        <v>7.3999999999999996E-2</v>
      </c>
      <c r="E160">
        <v>7.3999999999999996E-2</v>
      </c>
      <c r="F160">
        <v>7.3999999999999996E-2</v>
      </c>
    </row>
    <row r="161" spans="1:6" x14ac:dyDescent="0.55000000000000004">
      <c r="A161" t="s">
        <v>202</v>
      </c>
      <c r="B161" t="s">
        <v>586</v>
      </c>
      <c r="C161" t="s">
        <v>633</v>
      </c>
      <c r="D161">
        <v>0.05</v>
      </c>
      <c r="E161">
        <v>0.05</v>
      </c>
      <c r="F161">
        <v>0.05</v>
      </c>
    </row>
    <row r="162" spans="1:6" x14ac:dyDescent="0.55000000000000004">
      <c r="A162" t="s">
        <v>202</v>
      </c>
      <c r="B162" t="s">
        <v>586</v>
      </c>
      <c r="C162" t="s">
        <v>633</v>
      </c>
      <c r="D162">
        <v>7.3999999999999996E-2</v>
      </c>
      <c r="E162">
        <v>7.3999999999999996E-2</v>
      </c>
      <c r="F162">
        <v>7.3999999999999996E-2</v>
      </c>
    </row>
    <row r="163" spans="1:6" x14ac:dyDescent="0.55000000000000004">
      <c r="A163" t="s">
        <v>202</v>
      </c>
      <c r="B163" t="s">
        <v>627</v>
      </c>
      <c r="C163" t="s">
        <v>633</v>
      </c>
      <c r="D163">
        <v>0.05</v>
      </c>
      <c r="E163">
        <v>0.05</v>
      </c>
      <c r="F163">
        <v>0.05</v>
      </c>
    </row>
    <row r="164" spans="1:6" x14ac:dyDescent="0.55000000000000004">
      <c r="A164" t="s">
        <v>202</v>
      </c>
      <c r="B164" t="s">
        <v>627</v>
      </c>
      <c r="C164" t="s">
        <v>633</v>
      </c>
      <c r="D164">
        <v>7.3999999999999996E-2</v>
      </c>
      <c r="E164">
        <v>7.3999999999999996E-2</v>
      </c>
      <c r="F164">
        <v>7.3999999999999996E-2</v>
      </c>
    </row>
    <row r="165" spans="1:6" x14ac:dyDescent="0.55000000000000004">
      <c r="A165" t="s">
        <v>202</v>
      </c>
      <c r="B165" t="s">
        <v>135</v>
      </c>
      <c r="C165" t="s">
        <v>633</v>
      </c>
      <c r="D165">
        <v>0.05</v>
      </c>
      <c r="E165">
        <v>0.05</v>
      </c>
      <c r="F165">
        <v>0.05</v>
      </c>
    </row>
    <row r="166" spans="1:6" x14ac:dyDescent="0.55000000000000004">
      <c r="A166" t="s">
        <v>202</v>
      </c>
      <c r="B166" t="s">
        <v>135</v>
      </c>
      <c r="C166" t="s">
        <v>633</v>
      </c>
      <c r="D166">
        <v>0.03</v>
      </c>
      <c r="E166">
        <v>0.03</v>
      </c>
      <c r="F166">
        <v>0.03</v>
      </c>
    </row>
    <row r="167" spans="1:6" x14ac:dyDescent="0.55000000000000004">
      <c r="A167" t="s">
        <v>202</v>
      </c>
      <c r="B167" t="s">
        <v>135</v>
      </c>
      <c r="C167" t="s">
        <v>633</v>
      </c>
      <c r="D167">
        <v>7.3999999999999996E-2</v>
      </c>
      <c r="E167">
        <v>7.3999999999999996E-2</v>
      </c>
      <c r="F167">
        <v>7.3999999999999996E-2</v>
      </c>
    </row>
    <row r="168" spans="1:6" x14ac:dyDescent="0.55000000000000004">
      <c r="A168" t="s">
        <v>202</v>
      </c>
      <c r="B168" t="s">
        <v>814</v>
      </c>
      <c r="C168" t="s">
        <v>633</v>
      </c>
      <c r="D168">
        <v>0.05</v>
      </c>
      <c r="E168">
        <v>0.05</v>
      </c>
      <c r="F168">
        <v>0.05</v>
      </c>
    </row>
    <row r="169" spans="1:6" x14ac:dyDescent="0.55000000000000004">
      <c r="A169" t="s">
        <v>202</v>
      </c>
      <c r="B169" t="s">
        <v>155</v>
      </c>
      <c r="C169" t="s">
        <v>633</v>
      </c>
      <c r="D169">
        <v>0.05</v>
      </c>
      <c r="E169">
        <v>0.05</v>
      </c>
      <c r="F169">
        <v>0.05</v>
      </c>
    </row>
    <row r="170" spans="1:6" x14ac:dyDescent="0.55000000000000004">
      <c r="A170" t="s">
        <v>202</v>
      </c>
      <c r="B170" t="s">
        <v>155</v>
      </c>
      <c r="C170" t="s">
        <v>633</v>
      </c>
      <c r="D170">
        <v>0.03</v>
      </c>
      <c r="E170">
        <v>0.03</v>
      </c>
      <c r="F170">
        <v>0.03</v>
      </c>
    </row>
    <row r="171" spans="1:6" x14ac:dyDescent="0.55000000000000004">
      <c r="A171" t="s">
        <v>202</v>
      </c>
      <c r="B171" t="s">
        <v>155</v>
      </c>
      <c r="C171" t="s">
        <v>633</v>
      </c>
      <c r="D171">
        <v>7.3999999999999996E-2</v>
      </c>
      <c r="E171">
        <v>7.3999999999999996E-2</v>
      </c>
      <c r="F171">
        <v>7.3999999999999996E-2</v>
      </c>
    </row>
    <row r="172" spans="1:6" x14ac:dyDescent="0.55000000000000004">
      <c r="A172" t="s">
        <v>202</v>
      </c>
      <c r="B172" t="s">
        <v>754</v>
      </c>
      <c r="C172" t="s">
        <v>633</v>
      </c>
      <c r="D172">
        <v>0.05</v>
      </c>
      <c r="E172">
        <v>0.05</v>
      </c>
      <c r="F172">
        <v>0.05</v>
      </c>
    </row>
    <row r="173" spans="1:6" x14ac:dyDescent="0.55000000000000004">
      <c r="A173" t="s">
        <v>202</v>
      </c>
      <c r="B173" t="s">
        <v>754</v>
      </c>
      <c r="C173" t="s">
        <v>633</v>
      </c>
      <c r="D173">
        <v>7.0000000000000007E-2</v>
      </c>
      <c r="E173">
        <v>7.0000000000000007E-2</v>
      </c>
      <c r="F173">
        <v>7.0000000000000007E-2</v>
      </c>
    </row>
    <row r="174" spans="1:6" x14ac:dyDescent="0.55000000000000004">
      <c r="A174" t="s">
        <v>202</v>
      </c>
      <c r="B174" t="s">
        <v>44</v>
      </c>
      <c r="C174" t="s">
        <v>634</v>
      </c>
      <c r="D174">
        <v>3.5000000000000003E-2</v>
      </c>
      <c r="E174">
        <v>3.5000000000000003E-2</v>
      </c>
      <c r="F174">
        <v>3.5000000000000003E-2</v>
      </c>
    </row>
    <row r="175" spans="1:6" x14ac:dyDescent="0.55000000000000004">
      <c r="A175" t="s">
        <v>202</v>
      </c>
      <c r="B175" t="s">
        <v>44</v>
      </c>
      <c r="C175" t="s">
        <v>634</v>
      </c>
      <c r="D175">
        <v>4.4999999999999998E-2</v>
      </c>
      <c r="E175">
        <v>4.4999999999999998E-2</v>
      </c>
      <c r="F175">
        <v>4.4999999999999998E-2</v>
      </c>
    </row>
    <row r="176" spans="1:6" x14ac:dyDescent="0.55000000000000004">
      <c r="A176" t="s">
        <v>202</v>
      </c>
      <c r="B176" t="s">
        <v>44</v>
      </c>
      <c r="C176" t="s">
        <v>634</v>
      </c>
      <c r="D176">
        <v>0.02</v>
      </c>
      <c r="E176">
        <v>0.02</v>
      </c>
      <c r="F176">
        <v>0.02</v>
      </c>
    </row>
    <row r="177" spans="1:6" x14ac:dyDescent="0.55000000000000004">
      <c r="A177" t="s">
        <v>202</v>
      </c>
      <c r="B177" t="s">
        <v>44</v>
      </c>
      <c r="C177" t="s">
        <v>635</v>
      </c>
      <c r="D177">
        <v>0.9</v>
      </c>
      <c r="E177">
        <v>0.9</v>
      </c>
      <c r="F177">
        <v>0.9</v>
      </c>
    </row>
    <row r="178" spans="1:6" x14ac:dyDescent="0.55000000000000004">
      <c r="A178" t="s">
        <v>202</v>
      </c>
      <c r="B178" t="s">
        <v>44</v>
      </c>
      <c r="C178" t="s">
        <v>635</v>
      </c>
      <c r="D178">
        <v>0.83330000000000004</v>
      </c>
      <c r="E178">
        <v>0.83330000000000004</v>
      </c>
      <c r="F178">
        <v>0.83330000000000004</v>
      </c>
    </row>
    <row r="179" spans="1:6" x14ac:dyDescent="0.55000000000000004">
      <c r="A179" t="s">
        <v>202</v>
      </c>
      <c r="B179" t="s">
        <v>44</v>
      </c>
      <c r="C179" t="s">
        <v>635</v>
      </c>
      <c r="D179">
        <v>1</v>
      </c>
      <c r="E179">
        <v>1</v>
      </c>
      <c r="F179">
        <v>1</v>
      </c>
    </row>
    <row r="180" spans="1:6" x14ac:dyDescent="0.55000000000000004">
      <c r="A180" t="s">
        <v>202</v>
      </c>
      <c r="B180" t="s">
        <v>135</v>
      </c>
      <c r="C180" t="s">
        <v>635</v>
      </c>
      <c r="D180">
        <v>0.83330000000000004</v>
      </c>
      <c r="E180">
        <v>0.83330000000000004</v>
      </c>
      <c r="F180">
        <v>0.83330000000000004</v>
      </c>
    </row>
    <row r="181" spans="1:6" x14ac:dyDescent="0.55000000000000004">
      <c r="A181" t="s">
        <v>202</v>
      </c>
      <c r="B181" t="s">
        <v>135</v>
      </c>
      <c r="C181" t="s">
        <v>635</v>
      </c>
      <c r="D181">
        <v>1</v>
      </c>
      <c r="E181">
        <v>1</v>
      </c>
      <c r="F181">
        <v>1</v>
      </c>
    </row>
    <row r="182" spans="1:6" x14ac:dyDescent="0.55000000000000004">
      <c r="A182" t="s">
        <v>202</v>
      </c>
      <c r="B182" t="s">
        <v>814</v>
      </c>
      <c r="C182" t="s">
        <v>636</v>
      </c>
      <c r="D182">
        <v>0.03</v>
      </c>
      <c r="E182">
        <v>0.03</v>
      </c>
      <c r="F182">
        <v>0.03</v>
      </c>
    </row>
    <row r="183" spans="1:6" x14ac:dyDescent="0.55000000000000004">
      <c r="A183" t="s">
        <v>202</v>
      </c>
      <c r="B183" t="s">
        <v>820</v>
      </c>
      <c r="C183" t="s">
        <v>636</v>
      </c>
      <c r="D183">
        <v>0.02</v>
      </c>
      <c r="E183">
        <v>0.02</v>
      </c>
      <c r="F183">
        <v>0.02</v>
      </c>
    </row>
    <row r="184" spans="1:6" x14ac:dyDescent="0.55000000000000004">
      <c r="A184" t="s">
        <v>202</v>
      </c>
      <c r="B184" t="s">
        <v>820</v>
      </c>
      <c r="C184" t="s">
        <v>636</v>
      </c>
      <c r="D184">
        <v>0.03</v>
      </c>
      <c r="E184">
        <v>0.03</v>
      </c>
      <c r="F184">
        <v>0.03</v>
      </c>
    </row>
    <row r="185" spans="1:6" x14ac:dyDescent="0.55000000000000004">
      <c r="A185" t="s">
        <v>202</v>
      </c>
      <c r="B185" t="s">
        <v>155</v>
      </c>
      <c r="C185" t="s">
        <v>636</v>
      </c>
      <c r="D185">
        <v>0.02</v>
      </c>
      <c r="E185">
        <v>0.02</v>
      </c>
      <c r="F185">
        <v>0.02</v>
      </c>
    </row>
    <row r="186" spans="1:6" x14ac:dyDescent="0.55000000000000004">
      <c r="A186" t="s">
        <v>202</v>
      </c>
      <c r="B186" t="s">
        <v>155</v>
      </c>
      <c r="C186" t="s">
        <v>636</v>
      </c>
      <c r="D186">
        <v>0.03</v>
      </c>
      <c r="E186">
        <v>0.03</v>
      </c>
      <c r="F186">
        <v>0.03</v>
      </c>
    </row>
    <row r="187" spans="1:6" x14ac:dyDescent="0.55000000000000004">
      <c r="A187" t="s">
        <v>202</v>
      </c>
      <c r="B187" t="s">
        <v>135</v>
      </c>
      <c r="C187" t="s">
        <v>636</v>
      </c>
      <c r="D187">
        <v>0.02</v>
      </c>
      <c r="E187">
        <v>0.02</v>
      </c>
      <c r="F187">
        <v>0.02</v>
      </c>
    </row>
    <row r="188" spans="1:6" x14ac:dyDescent="0.55000000000000004">
      <c r="A188" t="s">
        <v>202</v>
      </c>
      <c r="B188" t="s">
        <v>135</v>
      </c>
      <c r="C188" t="s">
        <v>636</v>
      </c>
      <c r="D188">
        <v>0.03</v>
      </c>
      <c r="E188">
        <v>0.03</v>
      </c>
      <c r="F188">
        <v>0.03</v>
      </c>
    </row>
    <row r="189" spans="1:6" x14ac:dyDescent="0.55000000000000004">
      <c r="A189" t="s">
        <v>202</v>
      </c>
      <c r="B189" t="s">
        <v>754</v>
      </c>
      <c r="C189" t="s">
        <v>636</v>
      </c>
      <c r="D189">
        <v>0.02</v>
      </c>
      <c r="E189">
        <v>0.02</v>
      </c>
      <c r="F189">
        <v>0.02</v>
      </c>
    </row>
    <row r="190" spans="1:6" x14ac:dyDescent="0.55000000000000004">
      <c r="A190" t="s">
        <v>202</v>
      </c>
      <c r="B190" t="s">
        <v>754</v>
      </c>
      <c r="C190" t="s">
        <v>636</v>
      </c>
      <c r="D190">
        <v>2.5000000000000001E-2</v>
      </c>
      <c r="E190">
        <v>2.5000000000000001E-2</v>
      </c>
      <c r="F190">
        <v>2.5000000000000001E-2</v>
      </c>
    </row>
    <row r="191" spans="1:6" x14ac:dyDescent="0.55000000000000004">
      <c r="A191" t="s">
        <v>202</v>
      </c>
      <c r="B191" t="s">
        <v>754</v>
      </c>
      <c r="C191" t="s">
        <v>636</v>
      </c>
      <c r="D191">
        <v>0.04</v>
      </c>
      <c r="E191">
        <v>0.04</v>
      </c>
      <c r="F191">
        <v>0.04</v>
      </c>
    </row>
    <row r="192" spans="1:6" x14ac:dyDescent="0.55000000000000004">
      <c r="A192" t="s">
        <v>202</v>
      </c>
      <c r="B192" t="s">
        <v>44</v>
      </c>
      <c r="C192" t="s">
        <v>636</v>
      </c>
      <c r="D192">
        <v>0.02</v>
      </c>
      <c r="E192">
        <v>0.02</v>
      </c>
      <c r="F192">
        <v>0.02</v>
      </c>
    </row>
    <row r="193" spans="1:6" x14ac:dyDescent="0.55000000000000004">
      <c r="A193" t="s">
        <v>202</v>
      </c>
      <c r="B193" t="s">
        <v>44</v>
      </c>
      <c r="C193" t="s">
        <v>636</v>
      </c>
      <c r="D193">
        <v>2.5000000000000001E-2</v>
      </c>
      <c r="E193">
        <v>2.5000000000000001E-2</v>
      </c>
      <c r="F193">
        <v>2.5000000000000001E-2</v>
      </c>
    </row>
    <row r="194" spans="1:6" x14ac:dyDescent="0.55000000000000004">
      <c r="A194" t="s">
        <v>202</v>
      </c>
      <c r="B194" t="s">
        <v>44</v>
      </c>
      <c r="C194" t="s">
        <v>636</v>
      </c>
      <c r="D194">
        <v>0.03</v>
      </c>
      <c r="E194">
        <v>0.03</v>
      </c>
      <c r="F194">
        <v>0.03</v>
      </c>
    </row>
    <row r="195" spans="1:6" x14ac:dyDescent="0.55000000000000004">
      <c r="A195" t="s">
        <v>202</v>
      </c>
      <c r="B195" t="s">
        <v>44</v>
      </c>
      <c r="C195" t="s">
        <v>636</v>
      </c>
      <c r="D195">
        <v>0.04</v>
      </c>
      <c r="E195">
        <v>0.04</v>
      </c>
      <c r="F195">
        <v>0.04</v>
      </c>
    </row>
    <row r="196" spans="1:6" x14ac:dyDescent="0.55000000000000004">
      <c r="A196" t="s">
        <v>202</v>
      </c>
      <c r="B196" t="s">
        <v>586</v>
      </c>
      <c r="C196" t="s">
        <v>636</v>
      </c>
      <c r="D196">
        <v>0.02</v>
      </c>
      <c r="E196">
        <v>0.02</v>
      </c>
      <c r="F196">
        <v>0.02</v>
      </c>
    </row>
    <row r="197" spans="1:6" x14ac:dyDescent="0.55000000000000004">
      <c r="A197" t="s">
        <v>202</v>
      </c>
      <c r="B197" t="s">
        <v>627</v>
      </c>
      <c r="C197" t="s">
        <v>636</v>
      </c>
      <c r="D197">
        <v>0.02</v>
      </c>
      <c r="E197">
        <v>0.02</v>
      </c>
      <c r="F197">
        <v>0.02</v>
      </c>
    </row>
    <row r="198" spans="1:6" x14ac:dyDescent="0.55000000000000004">
      <c r="A198" t="s">
        <v>202</v>
      </c>
      <c r="B198" t="s">
        <v>814</v>
      </c>
      <c r="C198" t="s">
        <v>637</v>
      </c>
      <c r="D198">
        <v>85</v>
      </c>
      <c r="E198">
        <v>85</v>
      </c>
      <c r="F198">
        <v>85</v>
      </c>
    </row>
    <row r="199" spans="1:6" x14ac:dyDescent="0.55000000000000004">
      <c r="A199" t="s">
        <v>202</v>
      </c>
      <c r="B199" t="s">
        <v>586</v>
      </c>
      <c r="C199" t="s">
        <v>637</v>
      </c>
      <c r="D199">
        <v>85</v>
      </c>
      <c r="E199">
        <v>85</v>
      </c>
      <c r="F199">
        <v>85</v>
      </c>
    </row>
    <row r="200" spans="1:6" x14ac:dyDescent="0.55000000000000004">
      <c r="A200" t="s">
        <v>202</v>
      </c>
      <c r="B200" t="s">
        <v>586</v>
      </c>
      <c r="C200" t="s">
        <v>637</v>
      </c>
      <c r="D200">
        <v>95</v>
      </c>
      <c r="E200">
        <v>95</v>
      </c>
      <c r="F200">
        <v>95</v>
      </c>
    </row>
    <row r="201" spans="1:6" x14ac:dyDescent="0.55000000000000004">
      <c r="A201" t="s">
        <v>202</v>
      </c>
      <c r="B201" t="s">
        <v>135</v>
      </c>
      <c r="C201" t="s">
        <v>638</v>
      </c>
      <c r="D201">
        <v>75</v>
      </c>
      <c r="E201">
        <v>75</v>
      </c>
      <c r="F201">
        <v>75</v>
      </c>
    </row>
    <row r="202" spans="1:6" x14ac:dyDescent="0.55000000000000004">
      <c r="A202" t="s">
        <v>202</v>
      </c>
      <c r="B202" t="s">
        <v>135</v>
      </c>
      <c r="C202" t="s">
        <v>638</v>
      </c>
      <c r="D202">
        <v>85</v>
      </c>
      <c r="E202">
        <v>85</v>
      </c>
      <c r="F202">
        <v>85</v>
      </c>
    </row>
    <row r="203" spans="1:6" x14ac:dyDescent="0.55000000000000004">
      <c r="A203" t="s">
        <v>202</v>
      </c>
      <c r="B203" t="s">
        <v>135</v>
      </c>
      <c r="C203" t="s">
        <v>638</v>
      </c>
      <c r="D203">
        <v>90</v>
      </c>
      <c r="E203">
        <v>90</v>
      </c>
      <c r="F203">
        <v>90</v>
      </c>
    </row>
    <row r="204" spans="1:6" x14ac:dyDescent="0.55000000000000004">
      <c r="A204" t="s">
        <v>202</v>
      </c>
      <c r="B204" t="s">
        <v>135</v>
      </c>
      <c r="C204" t="s">
        <v>638</v>
      </c>
      <c r="D204">
        <v>95</v>
      </c>
      <c r="E204">
        <v>95</v>
      </c>
      <c r="F204">
        <v>95</v>
      </c>
    </row>
    <row r="205" spans="1:6" x14ac:dyDescent="0.55000000000000004">
      <c r="A205" t="s">
        <v>202</v>
      </c>
      <c r="C205" t="s">
        <v>638</v>
      </c>
      <c r="D205">
        <v>95</v>
      </c>
      <c r="E205">
        <v>95</v>
      </c>
      <c r="F205">
        <v>95</v>
      </c>
    </row>
    <row r="206" spans="1:6" x14ac:dyDescent="0.55000000000000004">
      <c r="A206" t="s">
        <v>202</v>
      </c>
      <c r="C206" t="s">
        <v>639</v>
      </c>
      <c r="D206">
        <v>1</v>
      </c>
      <c r="E206">
        <v>1</v>
      </c>
      <c r="F206">
        <v>1</v>
      </c>
    </row>
    <row r="207" spans="1:6" x14ac:dyDescent="0.55000000000000004">
      <c r="A207" t="s">
        <v>202</v>
      </c>
      <c r="C207" t="s">
        <v>640</v>
      </c>
      <c r="D207" t="s">
        <v>757</v>
      </c>
      <c r="E207" t="s">
        <v>817</v>
      </c>
      <c r="F207" t="s">
        <v>815</v>
      </c>
    </row>
    <row r="208" spans="1:6" x14ac:dyDescent="0.55000000000000004">
      <c r="A208" t="s">
        <v>202</v>
      </c>
      <c r="B208" t="s">
        <v>814</v>
      </c>
      <c r="C208" t="s">
        <v>641</v>
      </c>
      <c r="D208">
        <v>2060</v>
      </c>
      <c r="E208">
        <v>2060</v>
      </c>
      <c r="F208">
        <v>2060</v>
      </c>
    </row>
    <row r="209" spans="1:6" x14ac:dyDescent="0.55000000000000004">
      <c r="A209" t="s">
        <v>202</v>
      </c>
      <c r="B209" t="s">
        <v>586</v>
      </c>
      <c r="C209" t="s">
        <v>641</v>
      </c>
      <c r="D209">
        <v>2026</v>
      </c>
      <c r="E209">
        <v>2026</v>
      </c>
      <c r="F209">
        <v>2026</v>
      </c>
    </row>
    <row r="210" spans="1:6" x14ac:dyDescent="0.55000000000000004">
      <c r="A210" t="s">
        <v>202</v>
      </c>
      <c r="B210" t="s">
        <v>586</v>
      </c>
      <c r="C210" t="s">
        <v>641</v>
      </c>
      <c r="D210">
        <v>2060</v>
      </c>
      <c r="E210">
        <v>2060</v>
      </c>
      <c r="F210">
        <v>2060</v>
      </c>
    </row>
    <row r="211" spans="1:6" x14ac:dyDescent="0.55000000000000004">
      <c r="A211" t="s">
        <v>202</v>
      </c>
      <c r="B211" t="s">
        <v>627</v>
      </c>
      <c r="C211" t="s">
        <v>641</v>
      </c>
      <c r="D211">
        <v>2026</v>
      </c>
      <c r="E211">
        <v>2026</v>
      </c>
      <c r="F211">
        <v>2026</v>
      </c>
    </row>
    <row r="212" spans="1:6" x14ac:dyDescent="0.55000000000000004">
      <c r="A212" t="s">
        <v>202</v>
      </c>
      <c r="B212" t="s">
        <v>627</v>
      </c>
      <c r="C212" t="s">
        <v>641</v>
      </c>
      <c r="D212">
        <v>2060</v>
      </c>
      <c r="E212">
        <v>2060</v>
      </c>
      <c r="F212">
        <v>2060</v>
      </c>
    </row>
    <row r="213" spans="1:6" x14ac:dyDescent="0.55000000000000004">
      <c r="A213" t="s">
        <v>202</v>
      </c>
      <c r="B213" t="s">
        <v>48</v>
      </c>
      <c r="C213" t="s">
        <v>641</v>
      </c>
      <c r="D213">
        <v>2026</v>
      </c>
      <c r="E213">
        <v>2026</v>
      </c>
      <c r="F213">
        <v>2026</v>
      </c>
    </row>
    <row r="214" spans="1:6" x14ac:dyDescent="0.55000000000000004">
      <c r="A214" t="s">
        <v>202</v>
      </c>
      <c r="B214" t="s">
        <v>48</v>
      </c>
      <c r="C214" t="s">
        <v>641</v>
      </c>
      <c r="D214">
        <v>2060</v>
      </c>
      <c r="E214">
        <v>2060</v>
      </c>
      <c r="F214">
        <v>2060</v>
      </c>
    </row>
    <row r="215" spans="1:6" x14ac:dyDescent="0.55000000000000004">
      <c r="A215" t="s">
        <v>202</v>
      </c>
      <c r="B215" t="s">
        <v>44</v>
      </c>
      <c r="C215" t="s">
        <v>642</v>
      </c>
      <c r="D215">
        <v>1</v>
      </c>
      <c r="E215">
        <v>1</v>
      </c>
      <c r="F215">
        <v>1</v>
      </c>
    </row>
    <row r="216" spans="1:6" x14ac:dyDescent="0.55000000000000004">
      <c r="A216" t="s">
        <v>202</v>
      </c>
      <c r="B216" t="s">
        <v>48</v>
      </c>
      <c r="C216" t="s">
        <v>643</v>
      </c>
      <c r="D216">
        <v>0.8</v>
      </c>
      <c r="E216">
        <v>0.8</v>
      </c>
      <c r="F216">
        <v>0.8</v>
      </c>
    </row>
    <row r="217" spans="1:6" x14ac:dyDescent="0.55000000000000004">
      <c r="A217" t="s">
        <v>202</v>
      </c>
      <c r="B217" t="s">
        <v>48</v>
      </c>
      <c r="C217" t="s">
        <v>643</v>
      </c>
      <c r="D217">
        <v>0.7</v>
      </c>
      <c r="E217">
        <v>0.7</v>
      </c>
      <c r="F217">
        <v>0.7</v>
      </c>
    </row>
    <row r="218" spans="1:6" x14ac:dyDescent="0.55000000000000004">
      <c r="A218" t="s">
        <v>202</v>
      </c>
      <c r="C218" t="s">
        <v>644</v>
      </c>
      <c r="D218">
        <v>2024</v>
      </c>
      <c r="E218">
        <v>2024</v>
      </c>
      <c r="F218">
        <v>2024</v>
      </c>
    </row>
    <row r="219" spans="1:6" x14ac:dyDescent="0.55000000000000004">
      <c r="A219" t="s">
        <v>202</v>
      </c>
      <c r="C219" t="s">
        <v>645</v>
      </c>
      <c r="D219">
        <v>2035</v>
      </c>
      <c r="E219">
        <v>2035</v>
      </c>
      <c r="F219">
        <v>2035</v>
      </c>
    </row>
    <row r="220" spans="1:6" x14ac:dyDescent="0.55000000000000004">
      <c r="A220" t="s">
        <v>202</v>
      </c>
      <c r="B220" t="s">
        <v>586</v>
      </c>
      <c r="C220" t="s">
        <v>645</v>
      </c>
      <c r="D220">
        <v>2035</v>
      </c>
      <c r="E220">
        <v>2035</v>
      </c>
      <c r="F220">
        <v>2035</v>
      </c>
    </row>
    <row r="221" spans="1:6" x14ac:dyDescent="0.55000000000000004">
      <c r="A221" t="s">
        <v>202</v>
      </c>
      <c r="C221" t="s">
        <v>646</v>
      </c>
      <c r="D221">
        <v>55000</v>
      </c>
      <c r="E221">
        <v>90000</v>
      </c>
      <c r="F221">
        <v>135000</v>
      </c>
    </row>
    <row r="222" spans="1:6" x14ac:dyDescent="0.55000000000000004">
      <c r="A222" t="s">
        <v>202</v>
      </c>
      <c r="B222" t="s">
        <v>48</v>
      </c>
      <c r="C222" t="s">
        <v>646</v>
      </c>
      <c r="D222">
        <v>65000</v>
      </c>
      <c r="E222">
        <v>105000</v>
      </c>
      <c r="F222">
        <v>150000</v>
      </c>
    </row>
    <row r="223" spans="1:6" x14ac:dyDescent="0.55000000000000004">
      <c r="A223" t="s">
        <v>202</v>
      </c>
      <c r="B223" t="s">
        <v>48</v>
      </c>
      <c r="C223" t="s">
        <v>646</v>
      </c>
      <c r="D223">
        <v>55000</v>
      </c>
      <c r="E223">
        <v>90000</v>
      </c>
      <c r="F223">
        <v>135000</v>
      </c>
    </row>
    <row r="224" spans="1:6" x14ac:dyDescent="0.55000000000000004">
      <c r="A224" t="s">
        <v>202</v>
      </c>
      <c r="B224" t="s">
        <v>48</v>
      </c>
      <c r="C224" t="s">
        <v>646</v>
      </c>
      <c r="D224">
        <v>40000</v>
      </c>
      <c r="E224">
        <v>80000</v>
      </c>
      <c r="F224">
        <v>90000</v>
      </c>
    </row>
    <row r="225" spans="1:6" x14ac:dyDescent="0.55000000000000004">
      <c r="A225" t="s">
        <v>202</v>
      </c>
      <c r="B225" t="s">
        <v>586</v>
      </c>
      <c r="C225" t="s">
        <v>646</v>
      </c>
      <c r="D225">
        <v>45000</v>
      </c>
      <c r="E225">
        <v>80000</v>
      </c>
      <c r="F225">
        <v>135000</v>
      </c>
    </row>
    <row r="226" spans="1:6" x14ac:dyDescent="0.55000000000000004">
      <c r="A226" t="s">
        <v>202</v>
      </c>
      <c r="B226" t="s">
        <v>586</v>
      </c>
      <c r="C226" t="s">
        <v>646</v>
      </c>
      <c r="D226">
        <v>55000</v>
      </c>
      <c r="E226">
        <v>90000</v>
      </c>
      <c r="F226">
        <v>90000</v>
      </c>
    </row>
    <row r="227" spans="1:6" x14ac:dyDescent="0.55000000000000004">
      <c r="A227" t="s">
        <v>202</v>
      </c>
      <c r="C227" t="s">
        <v>647</v>
      </c>
      <c r="D227">
        <v>10</v>
      </c>
      <c r="E227">
        <v>10</v>
      </c>
      <c r="F227">
        <v>10</v>
      </c>
    </row>
    <row r="228" spans="1:6" x14ac:dyDescent="0.55000000000000004">
      <c r="A228" t="s">
        <v>202</v>
      </c>
      <c r="B228" t="s">
        <v>135</v>
      </c>
      <c r="C228" t="s">
        <v>648</v>
      </c>
      <c r="D228">
        <v>0</v>
      </c>
      <c r="E228">
        <v>0</v>
      </c>
      <c r="F228">
        <v>0</v>
      </c>
    </row>
    <row r="229" spans="1:6" x14ac:dyDescent="0.55000000000000004">
      <c r="A229" t="s">
        <v>202</v>
      </c>
      <c r="B229" t="s">
        <v>135</v>
      </c>
      <c r="C229" t="s">
        <v>648</v>
      </c>
      <c r="D229">
        <v>1</v>
      </c>
      <c r="E229">
        <v>1</v>
      </c>
      <c r="F229">
        <v>1</v>
      </c>
    </row>
    <row r="230" spans="1:6" x14ac:dyDescent="0.55000000000000004">
      <c r="A230" t="s">
        <v>202</v>
      </c>
      <c r="C230" t="s">
        <v>649</v>
      </c>
      <c r="D230">
        <v>50000</v>
      </c>
      <c r="E230">
        <v>300000</v>
      </c>
      <c r="F230">
        <v>1000000</v>
      </c>
    </row>
    <row r="231" spans="1:6" x14ac:dyDescent="0.55000000000000004">
      <c r="A231" t="s">
        <v>202</v>
      </c>
      <c r="C231" t="s">
        <v>650</v>
      </c>
      <c r="D231" t="s">
        <v>86</v>
      </c>
      <c r="E231" t="s">
        <v>86</v>
      </c>
      <c r="F231" t="s">
        <v>86</v>
      </c>
    </row>
    <row r="232" spans="1:6" x14ac:dyDescent="0.55000000000000004">
      <c r="A232" t="s">
        <v>202</v>
      </c>
      <c r="B232" t="s">
        <v>586</v>
      </c>
      <c r="C232" t="s">
        <v>650</v>
      </c>
      <c r="D232" t="s">
        <v>87</v>
      </c>
      <c r="E232" t="s">
        <v>87</v>
      </c>
      <c r="F232" t="s">
        <v>87</v>
      </c>
    </row>
    <row r="233" spans="1:6" x14ac:dyDescent="0.55000000000000004">
      <c r="A233" t="s">
        <v>202</v>
      </c>
      <c r="B233" t="s">
        <v>586</v>
      </c>
      <c r="C233" t="s">
        <v>650</v>
      </c>
      <c r="D233" t="s">
        <v>86</v>
      </c>
      <c r="E233" t="s">
        <v>86</v>
      </c>
      <c r="F233" t="s">
        <v>86</v>
      </c>
    </row>
    <row r="234" spans="1:6" x14ac:dyDescent="0.55000000000000004">
      <c r="A234" t="s">
        <v>202</v>
      </c>
      <c r="B234" t="s">
        <v>814</v>
      </c>
      <c r="C234" t="s">
        <v>650</v>
      </c>
      <c r="D234" t="s">
        <v>86</v>
      </c>
      <c r="E234" t="s">
        <v>86</v>
      </c>
      <c r="F234" t="s">
        <v>86</v>
      </c>
    </row>
    <row r="235" spans="1:6" x14ac:dyDescent="0.55000000000000004">
      <c r="A235" t="s">
        <v>202</v>
      </c>
      <c r="B235" t="s">
        <v>135</v>
      </c>
      <c r="C235" t="s">
        <v>650</v>
      </c>
      <c r="D235" t="s">
        <v>87</v>
      </c>
      <c r="E235" t="s">
        <v>87</v>
      </c>
      <c r="F235" t="s">
        <v>87</v>
      </c>
    </row>
    <row r="236" spans="1:6" x14ac:dyDescent="0.55000000000000004">
      <c r="A236" t="s">
        <v>202</v>
      </c>
      <c r="B236" t="s">
        <v>135</v>
      </c>
      <c r="C236" t="s">
        <v>650</v>
      </c>
      <c r="D236" t="s">
        <v>86</v>
      </c>
      <c r="E236" t="s">
        <v>86</v>
      </c>
      <c r="F236" t="s">
        <v>86</v>
      </c>
    </row>
    <row r="237" spans="1:6" x14ac:dyDescent="0.55000000000000004">
      <c r="A237" t="s">
        <v>202</v>
      </c>
      <c r="B237" t="s">
        <v>135</v>
      </c>
      <c r="C237" t="s">
        <v>650</v>
      </c>
      <c r="D237" t="s">
        <v>89</v>
      </c>
      <c r="E237" t="s">
        <v>89</v>
      </c>
      <c r="F237" t="s">
        <v>89</v>
      </c>
    </row>
    <row r="238" spans="1:6" x14ac:dyDescent="0.55000000000000004">
      <c r="A238" t="s">
        <v>202</v>
      </c>
      <c r="B238" t="s">
        <v>155</v>
      </c>
      <c r="C238" t="s">
        <v>650</v>
      </c>
      <c r="D238" t="s">
        <v>87</v>
      </c>
      <c r="E238" t="s">
        <v>87</v>
      </c>
      <c r="F238" t="s">
        <v>87</v>
      </c>
    </row>
    <row r="239" spans="1:6" x14ac:dyDescent="0.55000000000000004">
      <c r="A239" t="s">
        <v>202</v>
      </c>
      <c r="B239" t="s">
        <v>155</v>
      </c>
      <c r="C239" t="s">
        <v>650</v>
      </c>
      <c r="D239" t="s">
        <v>86</v>
      </c>
      <c r="E239" t="s">
        <v>86</v>
      </c>
      <c r="F239" t="s">
        <v>86</v>
      </c>
    </row>
    <row r="240" spans="1:6" x14ac:dyDescent="0.55000000000000004">
      <c r="A240" t="s">
        <v>202</v>
      </c>
      <c r="B240" t="s">
        <v>155</v>
      </c>
      <c r="C240" t="s">
        <v>650</v>
      </c>
      <c r="D240" t="s">
        <v>86</v>
      </c>
      <c r="E240" t="s">
        <v>86</v>
      </c>
      <c r="F240" t="s">
        <v>86</v>
      </c>
    </row>
    <row r="241" spans="1:6" x14ac:dyDescent="0.55000000000000004">
      <c r="A241" t="s">
        <v>202</v>
      </c>
      <c r="B241" t="s">
        <v>155</v>
      </c>
      <c r="C241" t="s">
        <v>650</v>
      </c>
      <c r="D241" t="s">
        <v>88</v>
      </c>
      <c r="E241" t="s">
        <v>88</v>
      </c>
      <c r="F241" t="s">
        <v>88</v>
      </c>
    </row>
    <row r="242" spans="1:6" x14ac:dyDescent="0.55000000000000004">
      <c r="A242" t="s">
        <v>202</v>
      </c>
      <c r="B242" t="s">
        <v>155</v>
      </c>
      <c r="C242" t="s">
        <v>650</v>
      </c>
      <c r="D242" t="s">
        <v>89</v>
      </c>
      <c r="E242" t="s">
        <v>89</v>
      </c>
      <c r="F242" t="s">
        <v>89</v>
      </c>
    </row>
    <row r="243" spans="1:6" x14ac:dyDescent="0.55000000000000004">
      <c r="A243" t="s">
        <v>202</v>
      </c>
      <c r="B243" t="s">
        <v>48</v>
      </c>
      <c r="C243" t="s">
        <v>650</v>
      </c>
      <c r="D243" t="s">
        <v>87</v>
      </c>
      <c r="E243" t="s">
        <v>87</v>
      </c>
      <c r="F243" t="s">
        <v>87</v>
      </c>
    </row>
    <row r="244" spans="1:6" x14ac:dyDescent="0.55000000000000004">
      <c r="A244" t="s">
        <v>202</v>
      </c>
      <c r="B244" t="s">
        <v>48</v>
      </c>
      <c r="C244" t="s">
        <v>650</v>
      </c>
      <c r="D244" t="s">
        <v>86</v>
      </c>
      <c r="E244" t="s">
        <v>86</v>
      </c>
      <c r="F244" t="s">
        <v>86</v>
      </c>
    </row>
    <row r="245" spans="1:6" x14ac:dyDescent="0.55000000000000004">
      <c r="A245" t="s">
        <v>202</v>
      </c>
      <c r="B245" t="s">
        <v>586</v>
      </c>
      <c r="C245" t="s">
        <v>651</v>
      </c>
      <c r="D245" t="s">
        <v>64</v>
      </c>
      <c r="E245" t="s">
        <v>64</v>
      </c>
      <c r="F245" t="s">
        <v>64</v>
      </c>
    </row>
    <row r="246" spans="1:6" x14ac:dyDescent="0.55000000000000004">
      <c r="A246" t="s">
        <v>202</v>
      </c>
      <c r="B246" t="s">
        <v>814</v>
      </c>
      <c r="C246" t="s">
        <v>651</v>
      </c>
      <c r="D246" t="s">
        <v>64</v>
      </c>
      <c r="E246" t="s">
        <v>64</v>
      </c>
      <c r="F246" t="s">
        <v>64</v>
      </c>
    </row>
    <row r="247" spans="1:6" x14ac:dyDescent="0.55000000000000004">
      <c r="A247" t="s">
        <v>202</v>
      </c>
      <c r="B247" t="s">
        <v>155</v>
      </c>
      <c r="C247" t="s">
        <v>651</v>
      </c>
      <c r="D247" t="s">
        <v>180</v>
      </c>
      <c r="E247" t="s">
        <v>180</v>
      </c>
      <c r="F247" t="s">
        <v>180</v>
      </c>
    </row>
    <row r="248" spans="1:6" x14ac:dyDescent="0.55000000000000004">
      <c r="A248" t="s">
        <v>202</v>
      </c>
      <c r="B248" t="s">
        <v>155</v>
      </c>
      <c r="C248" t="s">
        <v>651</v>
      </c>
      <c r="D248" t="s">
        <v>64</v>
      </c>
      <c r="E248" t="s">
        <v>64</v>
      </c>
      <c r="F248" t="s">
        <v>64</v>
      </c>
    </row>
    <row r="249" spans="1:6" x14ac:dyDescent="0.55000000000000004">
      <c r="A249" t="s">
        <v>202</v>
      </c>
      <c r="C249" t="s">
        <v>652</v>
      </c>
      <c r="D249">
        <v>0.35</v>
      </c>
      <c r="E249">
        <v>0.35</v>
      </c>
      <c r="F249">
        <v>0.35</v>
      </c>
    </row>
    <row r="250" spans="1:6" x14ac:dyDescent="0.55000000000000004">
      <c r="A250" t="s">
        <v>202</v>
      </c>
      <c r="B250" t="s">
        <v>820</v>
      </c>
      <c r="C250" t="s">
        <v>681</v>
      </c>
      <c r="D250" t="s">
        <v>733</v>
      </c>
      <c r="E250" t="s">
        <v>733</v>
      </c>
      <c r="F250" t="s">
        <v>733</v>
      </c>
    </row>
    <row r="251" spans="1:6" x14ac:dyDescent="0.55000000000000004">
      <c r="A251" t="s">
        <v>202</v>
      </c>
      <c r="B251" t="s">
        <v>820</v>
      </c>
      <c r="C251" t="s">
        <v>681</v>
      </c>
      <c r="D251">
        <v>2025</v>
      </c>
      <c r="E251">
        <v>2025</v>
      </c>
      <c r="F251">
        <v>2025</v>
      </c>
    </row>
    <row r="252" spans="1:6" x14ac:dyDescent="0.55000000000000004">
      <c r="A252" t="s">
        <v>202</v>
      </c>
      <c r="B252" t="s">
        <v>820</v>
      </c>
      <c r="C252" t="s">
        <v>681</v>
      </c>
      <c r="D252" t="s">
        <v>821</v>
      </c>
      <c r="E252" t="s">
        <v>821</v>
      </c>
      <c r="F252" t="s">
        <v>821</v>
      </c>
    </row>
    <row r="253" spans="1:6" x14ac:dyDescent="0.55000000000000004">
      <c r="A253" t="s">
        <v>202</v>
      </c>
      <c r="B253" t="s">
        <v>820</v>
      </c>
      <c r="C253" t="s">
        <v>681</v>
      </c>
      <c r="D253">
        <v>2027</v>
      </c>
      <c r="E253">
        <v>2027</v>
      </c>
      <c r="F253">
        <v>2027</v>
      </c>
    </row>
    <row r="254" spans="1:6" x14ac:dyDescent="0.55000000000000004">
      <c r="A254" t="s">
        <v>202</v>
      </c>
      <c r="B254" t="s">
        <v>820</v>
      </c>
      <c r="C254" t="s">
        <v>681</v>
      </c>
      <c r="D254" t="s">
        <v>822</v>
      </c>
      <c r="E254" t="s">
        <v>822</v>
      </c>
      <c r="F254" t="s">
        <v>822</v>
      </c>
    </row>
    <row r="255" spans="1:6" x14ac:dyDescent="0.55000000000000004">
      <c r="A255" t="s">
        <v>202</v>
      </c>
      <c r="B255" t="s">
        <v>820</v>
      </c>
      <c r="C255" t="s">
        <v>681</v>
      </c>
      <c r="D255">
        <v>2029</v>
      </c>
      <c r="E255">
        <v>2029</v>
      </c>
      <c r="F255">
        <v>2029</v>
      </c>
    </row>
    <row r="256" spans="1:6" x14ac:dyDescent="0.55000000000000004">
      <c r="A256" t="s">
        <v>202</v>
      </c>
      <c r="C256" t="s">
        <v>681</v>
      </c>
      <c r="D256" t="s">
        <v>733</v>
      </c>
      <c r="E256" t="s">
        <v>733</v>
      </c>
      <c r="F256" t="s">
        <v>733</v>
      </c>
    </row>
    <row r="257" spans="1:6" x14ac:dyDescent="0.55000000000000004">
      <c r="A257" t="s">
        <v>202</v>
      </c>
      <c r="B257" t="s">
        <v>48</v>
      </c>
      <c r="C257" t="s">
        <v>681</v>
      </c>
      <c r="D257" t="s">
        <v>732</v>
      </c>
      <c r="E257" t="s">
        <v>732</v>
      </c>
      <c r="F257" t="s">
        <v>732</v>
      </c>
    </row>
    <row r="258" spans="1:6" x14ac:dyDescent="0.55000000000000004">
      <c r="A258" t="s">
        <v>202</v>
      </c>
      <c r="B258" t="s">
        <v>48</v>
      </c>
      <c r="C258" t="s">
        <v>681</v>
      </c>
      <c r="D258" t="s">
        <v>739</v>
      </c>
      <c r="E258" t="s">
        <v>739</v>
      </c>
      <c r="F258" t="s">
        <v>739</v>
      </c>
    </row>
    <row r="259" spans="1:6" x14ac:dyDescent="0.55000000000000004">
      <c r="A259" t="s">
        <v>202</v>
      </c>
      <c r="B259" t="s">
        <v>48</v>
      </c>
      <c r="C259" t="s">
        <v>681</v>
      </c>
      <c r="D259" t="s">
        <v>733</v>
      </c>
      <c r="E259" t="s">
        <v>733</v>
      </c>
      <c r="F259" t="s">
        <v>733</v>
      </c>
    </row>
    <row r="260" spans="1:6" x14ac:dyDescent="0.55000000000000004">
      <c r="A260" t="s">
        <v>202</v>
      </c>
      <c r="B260" t="s">
        <v>48</v>
      </c>
      <c r="C260" t="s">
        <v>681</v>
      </c>
      <c r="D260" t="s">
        <v>740</v>
      </c>
      <c r="E260" t="s">
        <v>740</v>
      </c>
      <c r="F260" t="s">
        <v>740</v>
      </c>
    </row>
    <row r="261" spans="1:6" x14ac:dyDescent="0.55000000000000004">
      <c r="A261" t="s">
        <v>202</v>
      </c>
      <c r="B261" t="s">
        <v>48</v>
      </c>
      <c r="C261" t="s">
        <v>681</v>
      </c>
      <c r="D261" t="s">
        <v>734</v>
      </c>
      <c r="E261" t="s">
        <v>734</v>
      </c>
      <c r="F261" t="s">
        <v>734</v>
      </c>
    </row>
    <row r="262" spans="1:6" x14ac:dyDescent="0.55000000000000004">
      <c r="A262" t="s">
        <v>202</v>
      </c>
      <c r="B262" t="s">
        <v>48</v>
      </c>
      <c r="C262" t="s">
        <v>681</v>
      </c>
      <c r="D262" t="s">
        <v>157</v>
      </c>
      <c r="E262" t="s">
        <v>157</v>
      </c>
      <c r="F262" t="s">
        <v>157</v>
      </c>
    </row>
    <row r="263" spans="1:6" x14ac:dyDescent="0.55000000000000004">
      <c r="A263" t="s">
        <v>202</v>
      </c>
      <c r="B263" t="s">
        <v>135</v>
      </c>
      <c r="C263" t="s">
        <v>681</v>
      </c>
      <c r="D263" t="s">
        <v>732</v>
      </c>
      <c r="E263" t="s">
        <v>732</v>
      </c>
      <c r="F263" t="s">
        <v>732</v>
      </c>
    </row>
    <row r="264" spans="1:6" x14ac:dyDescent="0.55000000000000004">
      <c r="A264" t="s">
        <v>202</v>
      </c>
      <c r="B264" t="s">
        <v>135</v>
      </c>
      <c r="C264" t="s">
        <v>681</v>
      </c>
      <c r="D264" t="s">
        <v>733</v>
      </c>
      <c r="E264" t="s">
        <v>733</v>
      </c>
      <c r="F264" t="s">
        <v>733</v>
      </c>
    </row>
    <row r="265" spans="1:6" x14ac:dyDescent="0.55000000000000004">
      <c r="A265" t="s">
        <v>202</v>
      </c>
      <c r="B265" t="s">
        <v>135</v>
      </c>
      <c r="C265" t="s">
        <v>681</v>
      </c>
      <c r="D265" t="s">
        <v>734</v>
      </c>
      <c r="E265" t="s">
        <v>734</v>
      </c>
      <c r="F265" t="s">
        <v>734</v>
      </c>
    </row>
    <row r="266" spans="1:6" x14ac:dyDescent="0.55000000000000004">
      <c r="A266" t="s">
        <v>202</v>
      </c>
      <c r="B266" t="s">
        <v>135</v>
      </c>
      <c r="C266" t="s">
        <v>681</v>
      </c>
      <c r="D266" t="s">
        <v>157</v>
      </c>
      <c r="E266" t="s">
        <v>157</v>
      </c>
      <c r="F266" t="s">
        <v>157</v>
      </c>
    </row>
    <row r="267" spans="1:6" x14ac:dyDescent="0.55000000000000004">
      <c r="A267" t="s">
        <v>202</v>
      </c>
      <c r="B267" t="s">
        <v>586</v>
      </c>
      <c r="C267" t="s">
        <v>681</v>
      </c>
      <c r="D267" t="s">
        <v>733</v>
      </c>
      <c r="E267" t="s">
        <v>733</v>
      </c>
      <c r="F267" t="s">
        <v>733</v>
      </c>
    </row>
    <row r="268" spans="1:6" x14ac:dyDescent="0.55000000000000004">
      <c r="A268" t="s">
        <v>202</v>
      </c>
      <c r="B268" t="s">
        <v>814</v>
      </c>
      <c r="C268" t="s">
        <v>681</v>
      </c>
      <c r="D268" t="s">
        <v>733</v>
      </c>
      <c r="E268" t="s">
        <v>733</v>
      </c>
      <c r="F268" t="s">
        <v>733</v>
      </c>
    </row>
    <row r="269" spans="1:6" x14ac:dyDescent="0.55000000000000004">
      <c r="A269" t="s">
        <v>202</v>
      </c>
      <c r="B269" t="s">
        <v>627</v>
      </c>
      <c r="C269" t="s">
        <v>681</v>
      </c>
      <c r="D269" t="s">
        <v>732</v>
      </c>
      <c r="E269" t="s">
        <v>732</v>
      </c>
      <c r="F269" t="s">
        <v>732</v>
      </c>
    </row>
    <row r="270" spans="1:6" x14ac:dyDescent="0.55000000000000004">
      <c r="A270" t="s">
        <v>202</v>
      </c>
      <c r="B270" t="s">
        <v>627</v>
      </c>
      <c r="C270" t="s">
        <v>681</v>
      </c>
      <c r="D270" t="s">
        <v>739</v>
      </c>
      <c r="E270" t="s">
        <v>739</v>
      </c>
      <c r="F270" t="s">
        <v>739</v>
      </c>
    </row>
    <row r="271" spans="1:6" x14ac:dyDescent="0.55000000000000004">
      <c r="A271" t="s">
        <v>202</v>
      </c>
      <c r="B271" t="s">
        <v>627</v>
      </c>
      <c r="C271" t="s">
        <v>681</v>
      </c>
      <c r="D271" t="s">
        <v>733</v>
      </c>
      <c r="E271" t="s">
        <v>733</v>
      </c>
      <c r="F271" t="s">
        <v>733</v>
      </c>
    </row>
    <row r="272" spans="1:6" x14ac:dyDescent="0.55000000000000004">
      <c r="A272" t="s">
        <v>202</v>
      </c>
      <c r="B272" t="s">
        <v>627</v>
      </c>
      <c r="C272" t="s">
        <v>681</v>
      </c>
      <c r="D272" t="s">
        <v>740</v>
      </c>
      <c r="E272" t="s">
        <v>740</v>
      </c>
      <c r="F272" t="s">
        <v>740</v>
      </c>
    </row>
    <row r="273" spans="1:6" x14ac:dyDescent="0.55000000000000004">
      <c r="A273" t="s">
        <v>202</v>
      </c>
      <c r="B273" t="s">
        <v>627</v>
      </c>
      <c r="C273" t="s">
        <v>681</v>
      </c>
      <c r="D273" t="s">
        <v>734</v>
      </c>
      <c r="E273" t="s">
        <v>734</v>
      </c>
      <c r="F273" t="s">
        <v>734</v>
      </c>
    </row>
    <row r="274" spans="1:6" x14ac:dyDescent="0.55000000000000004">
      <c r="A274" t="s">
        <v>202</v>
      </c>
      <c r="B274" t="s">
        <v>627</v>
      </c>
      <c r="C274" t="s">
        <v>681</v>
      </c>
      <c r="D274" t="s">
        <v>157</v>
      </c>
      <c r="E274" t="s">
        <v>157</v>
      </c>
      <c r="F274" t="s">
        <v>157</v>
      </c>
    </row>
    <row r="275" spans="1:6" x14ac:dyDescent="0.55000000000000004">
      <c r="A275" t="s">
        <v>202</v>
      </c>
      <c r="B275" t="s">
        <v>754</v>
      </c>
      <c r="C275" t="s">
        <v>653</v>
      </c>
      <c r="D275">
        <v>0</v>
      </c>
      <c r="E275">
        <v>0</v>
      </c>
      <c r="F275">
        <v>105000</v>
      </c>
    </row>
    <row r="276" spans="1:6" x14ac:dyDescent="0.55000000000000004">
      <c r="A276" t="s">
        <v>202</v>
      </c>
      <c r="B276" t="s">
        <v>627</v>
      </c>
      <c r="C276" t="s">
        <v>653</v>
      </c>
      <c r="D276">
        <v>0</v>
      </c>
      <c r="E276">
        <v>0</v>
      </c>
      <c r="F276">
        <v>0</v>
      </c>
    </row>
    <row r="277" spans="1:6" x14ac:dyDescent="0.55000000000000004">
      <c r="A277" t="s">
        <v>202</v>
      </c>
      <c r="C277" t="s">
        <v>653</v>
      </c>
      <c r="D277">
        <v>0</v>
      </c>
      <c r="E277">
        <v>15000</v>
      </c>
      <c r="F277">
        <v>105000</v>
      </c>
    </row>
    <row r="278" spans="1:6" x14ac:dyDescent="0.55000000000000004">
      <c r="A278" t="s">
        <v>202</v>
      </c>
      <c r="B278" t="s">
        <v>135</v>
      </c>
      <c r="C278" t="s">
        <v>653</v>
      </c>
      <c r="D278">
        <v>5000</v>
      </c>
      <c r="E278">
        <v>15000</v>
      </c>
      <c r="F278">
        <v>105000</v>
      </c>
    </row>
    <row r="279" spans="1:6" x14ac:dyDescent="0.55000000000000004">
      <c r="A279" t="s">
        <v>202</v>
      </c>
      <c r="B279" t="s">
        <v>135</v>
      </c>
      <c r="C279" t="s">
        <v>653</v>
      </c>
      <c r="D279">
        <v>0</v>
      </c>
      <c r="E279">
        <v>0</v>
      </c>
      <c r="F279">
        <v>0</v>
      </c>
    </row>
    <row r="280" spans="1:6" x14ac:dyDescent="0.55000000000000004">
      <c r="A280" t="s">
        <v>202</v>
      </c>
      <c r="B280" t="s">
        <v>155</v>
      </c>
      <c r="C280" t="s">
        <v>653</v>
      </c>
      <c r="D280">
        <v>10000</v>
      </c>
      <c r="E280">
        <v>10000</v>
      </c>
      <c r="F280">
        <v>80000</v>
      </c>
    </row>
    <row r="281" spans="1:6" x14ac:dyDescent="0.55000000000000004">
      <c r="A281" t="s">
        <v>202</v>
      </c>
      <c r="B281" t="s">
        <v>155</v>
      </c>
      <c r="C281" t="s">
        <v>653</v>
      </c>
      <c r="D281">
        <v>20000</v>
      </c>
      <c r="E281">
        <v>15000</v>
      </c>
      <c r="F281">
        <v>105000</v>
      </c>
    </row>
    <row r="282" spans="1:6" x14ac:dyDescent="0.55000000000000004">
      <c r="A282" t="s">
        <v>202</v>
      </c>
      <c r="B282" t="s">
        <v>155</v>
      </c>
      <c r="C282" t="s">
        <v>653</v>
      </c>
      <c r="D282">
        <v>35000</v>
      </c>
      <c r="E282">
        <v>25000</v>
      </c>
      <c r="F282">
        <v>120000</v>
      </c>
    </row>
    <row r="283" spans="1:6" x14ac:dyDescent="0.55000000000000004">
      <c r="A283" t="s">
        <v>202</v>
      </c>
      <c r="B283" t="s">
        <v>155</v>
      </c>
      <c r="C283" t="s">
        <v>653</v>
      </c>
      <c r="D283">
        <v>50000</v>
      </c>
      <c r="E283">
        <v>40000</v>
      </c>
      <c r="F283">
        <v>130000</v>
      </c>
    </row>
    <row r="284" spans="1:6" x14ac:dyDescent="0.55000000000000004">
      <c r="A284" t="s">
        <v>202</v>
      </c>
      <c r="B284" t="s">
        <v>814</v>
      </c>
      <c r="C284" t="s">
        <v>653</v>
      </c>
      <c r="D284">
        <v>0</v>
      </c>
      <c r="E284">
        <v>0</v>
      </c>
      <c r="F284">
        <v>0</v>
      </c>
    </row>
    <row r="285" spans="1:6" x14ac:dyDescent="0.55000000000000004">
      <c r="A285" t="s">
        <v>202</v>
      </c>
      <c r="B285" t="s">
        <v>814</v>
      </c>
      <c r="C285" t="s">
        <v>653</v>
      </c>
      <c r="D285">
        <v>3000</v>
      </c>
      <c r="E285">
        <v>10000</v>
      </c>
      <c r="F285">
        <v>55000</v>
      </c>
    </row>
    <row r="286" spans="1:6" x14ac:dyDescent="0.55000000000000004">
      <c r="A286" t="s">
        <v>202</v>
      </c>
      <c r="B286" t="s">
        <v>814</v>
      </c>
      <c r="C286" t="s">
        <v>653</v>
      </c>
      <c r="D286">
        <v>6000</v>
      </c>
      <c r="E286">
        <v>15000</v>
      </c>
      <c r="F286">
        <v>60000</v>
      </c>
    </row>
    <row r="287" spans="1:6" x14ac:dyDescent="0.55000000000000004">
      <c r="A287" t="s">
        <v>202</v>
      </c>
      <c r="B287" t="s">
        <v>814</v>
      </c>
      <c r="C287" t="s">
        <v>653</v>
      </c>
      <c r="D287">
        <v>10000</v>
      </c>
      <c r="E287">
        <v>20000</v>
      </c>
      <c r="F287">
        <v>75000</v>
      </c>
    </row>
    <row r="288" spans="1:6" x14ac:dyDescent="0.55000000000000004">
      <c r="A288" t="s">
        <v>202</v>
      </c>
      <c r="B288" t="s">
        <v>814</v>
      </c>
      <c r="C288" t="s">
        <v>653</v>
      </c>
      <c r="D288">
        <v>15000</v>
      </c>
      <c r="E288">
        <v>25000</v>
      </c>
      <c r="F288">
        <v>105000</v>
      </c>
    </row>
    <row r="289" spans="1:6" x14ac:dyDescent="0.55000000000000004">
      <c r="A289" t="s">
        <v>202</v>
      </c>
      <c r="B289" t="s">
        <v>814</v>
      </c>
      <c r="C289" t="s">
        <v>653</v>
      </c>
      <c r="D289">
        <v>20000</v>
      </c>
      <c r="E289">
        <v>30000</v>
      </c>
      <c r="F289">
        <v>155000</v>
      </c>
    </row>
    <row r="290" spans="1:6" x14ac:dyDescent="0.55000000000000004">
      <c r="A290" t="s">
        <v>202</v>
      </c>
      <c r="C290" t="s">
        <v>654</v>
      </c>
      <c r="D290" t="s">
        <v>445</v>
      </c>
      <c r="E290" t="s">
        <v>445</v>
      </c>
      <c r="F290" t="s">
        <v>445</v>
      </c>
    </row>
    <row r="291" spans="1:6" x14ac:dyDescent="0.55000000000000004">
      <c r="A291" t="s">
        <v>202</v>
      </c>
      <c r="C291" t="s">
        <v>655</v>
      </c>
      <c r="D291" t="s">
        <v>453</v>
      </c>
      <c r="E291" t="s">
        <v>453</v>
      </c>
      <c r="F291" t="s">
        <v>453</v>
      </c>
    </row>
    <row r="292" spans="1:6" x14ac:dyDescent="0.55000000000000004">
      <c r="A292" t="s">
        <v>202</v>
      </c>
      <c r="C292" t="s">
        <v>747</v>
      </c>
      <c r="D292">
        <v>2035</v>
      </c>
      <c r="E292">
        <v>2035</v>
      </c>
      <c r="F292">
        <v>2035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32F35DB9-BB01-4C4A-96AE-D495A657F060}">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297</vt:i4>
      </vt:variant>
    </vt:vector>
  </HeadingPairs>
  <TitlesOfParts>
    <vt:vector size="307" baseType="lpstr">
      <vt:lpstr>FactorTable</vt:lpstr>
      <vt:lpstr>Scenarios</vt:lpstr>
      <vt:lpstr>Model</vt:lpstr>
      <vt:lpstr>Overview</vt:lpstr>
      <vt:lpstr>StateTaxInfo</vt:lpstr>
      <vt:lpstr>Baselines</vt:lpstr>
      <vt:lpstr>RawStateTaxInfo</vt:lpstr>
      <vt:lpstr>Tools</vt:lpstr>
      <vt:lpstr>Controls</vt:lpstr>
      <vt:lpstr>SampleProfiles</vt:lpstr>
      <vt:lpstr>Model!AdjSSRefColumn</vt:lpstr>
      <vt:lpstr>Model!AdjTotalRefColumn</vt:lpstr>
      <vt:lpstr>Controls!ExecutionTimeEst</vt:lpstr>
      <vt:lpstr>FactorTable!FactorTableBEInfo</vt:lpstr>
      <vt:lpstr>FactorTable!FactorTableColumn</vt:lpstr>
      <vt:lpstr>FactorTable!FactorTableDataSharable</vt:lpstr>
      <vt:lpstr>FactorTable!FactorTableFactors</vt:lpstr>
      <vt:lpstr>FactorTable!FactorTableGroups</vt:lpstr>
      <vt:lpstr>FactorTable!FactorTableParamBlock</vt:lpstr>
      <vt:lpstr>FactorTable!FactorTableParamName</vt:lpstr>
      <vt:lpstr>FactorTable!FactorTableRefColumn</vt:lpstr>
      <vt:lpstr>FactorTable!FactorTableType</vt:lpstr>
      <vt:lpstr>LoggingControl</vt:lpstr>
      <vt:lpstr>Model!ModelAbsoluteFundedRatio</vt:lpstr>
      <vt:lpstr>Model!ModelAccountDraws</vt:lpstr>
      <vt:lpstr>Model!ModelActualRothConvValue</vt:lpstr>
      <vt:lpstr>Model!ModelActualSS1</vt:lpstr>
      <vt:lpstr>Model!ModelActualSS2</vt:lpstr>
      <vt:lpstr>Model!ModelAdjFedOrdinaryTax</vt:lpstr>
      <vt:lpstr>Model!ModelAdjFICATax</vt:lpstr>
      <vt:lpstr>Model!ModelAdjInvestTax</vt:lpstr>
      <vt:lpstr>Model!ModelAdjIra</vt:lpstr>
      <vt:lpstr>Model!ModelAdjIraDraw</vt:lpstr>
      <vt:lpstr>Model!ModelAdjIRMAATax</vt:lpstr>
      <vt:lpstr>Model!ModelAdjLTCG</vt:lpstr>
      <vt:lpstr>Model!ModelAdjLTCGTax</vt:lpstr>
      <vt:lpstr>Model!ModelAdjNIITax</vt:lpstr>
      <vt:lpstr>Model!ModelAdjQualIncome</vt:lpstr>
      <vt:lpstr>Model!ModelAdjRoth</vt:lpstr>
      <vt:lpstr>Model!ModelAdjRothDraw</vt:lpstr>
      <vt:lpstr>Model!ModelAdjSpendable</vt:lpstr>
      <vt:lpstr>Model!ModelAdjStateLTCG</vt:lpstr>
      <vt:lpstr>Model!ModelAdjStatePension</vt:lpstr>
      <vt:lpstr>Model!ModelAdjStateQualIncome</vt:lpstr>
      <vt:lpstr>Model!ModelAdjStateSS</vt:lpstr>
      <vt:lpstr>Model!ModelAdjStateTax</vt:lpstr>
      <vt:lpstr>Model!ModelAdjStateUnqual</vt:lpstr>
      <vt:lpstr>Model!ModelAdjTaxableSS</vt:lpstr>
      <vt:lpstr>Model!ModelAdjTotalPension</vt:lpstr>
      <vt:lpstr>Model!ModelAdjTotalWages</vt:lpstr>
      <vt:lpstr>Model!ModelAdjUnqual</vt:lpstr>
      <vt:lpstr>Model!ModelAdjUnqualDraw</vt:lpstr>
      <vt:lpstr>Model!ModelAdjUnqualIncome</vt:lpstr>
      <vt:lpstr>Model!ModelAdjWageIncome</vt:lpstr>
      <vt:lpstr>Model!ModelAge</vt:lpstr>
      <vt:lpstr>Model!ModelAvgTaxRate</vt:lpstr>
      <vt:lpstr>Model!ModelBaselineComparsion</vt:lpstr>
      <vt:lpstr>Model!ModelBaselineMedicare</vt:lpstr>
      <vt:lpstr>Model!ModelBaselineStateCredit</vt:lpstr>
      <vt:lpstr>Model!ModelBaselineSumSS</vt:lpstr>
      <vt:lpstr>Model!ModelBaselineSumValue</vt:lpstr>
      <vt:lpstr>Model!ModelBaselineYear</vt:lpstr>
      <vt:lpstr>Model!ModelBirthday1</vt:lpstr>
      <vt:lpstr>Model!ModelBirthday2</vt:lpstr>
      <vt:lpstr>Model!ModelBirthdays</vt:lpstr>
      <vt:lpstr>Model!ModelBreakEvenYears</vt:lpstr>
      <vt:lpstr>Model!ModelDataSharable</vt:lpstr>
      <vt:lpstr>Model!ModelExternalBeforeSS</vt:lpstr>
      <vt:lpstr>Model!ModelFedBrackets</vt:lpstr>
      <vt:lpstr>Model!ModelFedDedBeforeStateIncomeTax</vt:lpstr>
      <vt:lpstr>Model!ModelFederalTaxScheme</vt:lpstr>
      <vt:lpstr>Model!ModelFedIncome</vt:lpstr>
      <vt:lpstr>Model!ModelFedIncomeChoices</vt:lpstr>
      <vt:lpstr>Model!ModelFedInflationIndexFactor</vt:lpstr>
      <vt:lpstr>Model!ModelFedLTCGTax</vt:lpstr>
      <vt:lpstr>Model!ModelFedTax</vt:lpstr>
      <vt:lpstr>Model!ModelFedTotalTax</vt:lpstr>
      <vt:lpstr>Model!ModelFICAFactor1</vt:lpstr>
      <vt:lpstr>Model!ModelFICAFactor2</vt:lpstr>
      <vt:lpstr>Model!ModelFICATax</vt:lpstr>
      <vt:lpstr>Model!ModelFirstRetirementYear</vt:lpstr>
      <vt:lpstr>Model!ModelFirstYearNewTaxes</vt:lpstr>
      <vt:lpstr>Model!ModelFixedParameters</vt:lpstr>
      <vt:lpstr>Model!ModelFlags</vt:lpstr>
      <vt:lpstr>Model!ModelFundedRatio</vt:lpstr>
      <vt:lpstr>Model!ModelFundedRMDs</vt:lpstr>
      <vt:lpstr>Model!ModelFutureTaxRates</vt:lpstr>
      <vt:lpstr>Model!ModelFutureTaxRateTable</vt:lpstr>
      <vt:lpstr>Model!ModelFutureTaxRefColumnID</vt:lpstr>
      <vt:lpstr>Model!ModelGrowthRate</vt:lpstr>
      <vt:lpstr>Model!ModelIndexedStateCredit</vt:lpstr>
      <vt:lpstr>Model!ModelInflation</vt:lpstr>
      <vt:lpstr>Model!ModelIRA1Start</vt:lpstr>
      <vt:lpstr>Model!ModelIRA2Start</vt:lpstr>
      <vt:lpstr>Model!ModelIRAWeight</vt:lpstr>
      <vt:lpstr>Model!ModelIRMAATax</vt:lpstr>
      <vt:lpstr>Model!ModelIsSingle</vt:lpstr>
      <vt:lpstr>Model!ModelLastYearWork1</vt:lpstr>
      <vt:lpstr>Model!ModelLastYearWork2</vt:lpstr>
      <vt:lpstr>Model!ModelLeaveState1Year</vt:lpstr>
      <vt:lpstr>Model!ModelLTCG</vt:lpstr>
      <vt:lpstr>Model!ModelMAGI</vt:lpstr>
      <vt:lpstr>Model!ModelMarginalTaxRate</vt:lpstr>
      <vt:lpstr>Model!ModelMedicareBaseline</vt:lpstr>
      <vt:lpstr>Model!ModelMedicarePartB</vt:lpstr>
      <vt:lpstr>Model!ModelMinTotalAdjValue</vt:lpstr>
      <vt:lpstr>Model!ModelMinUnQualBal</vt:lpstr>
      <vt:lpstr>Model!ModelNextYearIRMAAFactor</vt:lpstr>
      <vt:lpstr>Model!ModelNIIncome</vt:lpstr>
      <vt:lpstr>Model!ModelNIITax</vt:lpstr>
      <vt:lpstr>Model!ModelNominalAccountTotal</vt:lpstr>
      <vt:lpstr>Model!ModelNominalInvestTax</vt:lpstr>
      <vt:lpstr>Model!ModelOptimalRothValue</vt:lpstr>
      <vt:lpstr>Model!ModelOtherDownStream</vt:lpstr>
      <vt:lpstr>Model!ModelPension1</vt:lpstr>
      <vt:lpstr>Model!ModelPension2</vt:lpstr>
      <vt:lpstr>Model!ModelPensionIndexFrac1</vt:lpstr>
      <vt:lpstr>Model!ModelPensionIndexFrac2</vt:lpstr>
      <vt:lpstr>Model!ModelPensions</vt:lpstr>
      <vt:lpstr>Model!ModelPensionStart1</vt:lpstr>
      <vt:lpstr>Model!ModelPensionStart2</vt:lpstr>
      <vt:lpstr>Model!ModelPensionSurvivorship1</vt:lpstr>
      <vt:lpstr>Model!ModelPensionSurvivorship2</vt:lpstr>
      <vt:lpstr>Model!ModelPersonalDeduction</vt:lpstr>
      <vt:lpstr>Model!ModelPlanAge</vt:lpstr>
      <vt:lpstr>Model!ModelPlanAge1</vt:lpstr>
      <vt:lpstr>Model!ModelPlanAge2</vt:lpstr>
      <vt:lpstr>Model!ModelPlanStart</vt:lpstr>
      <vt:lpstr>Model!ModelPlanYearIRMAAFactor</vt:lpstr>
      <vt:lpstr>Model!ModelProvisonalIncome</vt:lpstr>
      <vt:lpstr>Model!ModelQualBalances</vt:lpstr>
      <vt:lpstr>Model!ModelQualDraws</vt:lpstr>
      <vt:lpstr>Model!ModelQualFactor</vt:lpstr>
      <vt:lpstr>Model!ModelQualTotalBalance</vt:lpstr>
      <vt:lpstr>Model!ModelRMDs</vt:lpstr>
      <vt:lpstr>Model!ModelRmdStartAge1</vt:lpstr>
      <vt:lpstr>Model!ModelRmdStartAge2</vt:lpstr>
      <vt:lpstr>Model!ModelRMMABrack1</vt:lpstr>
      <vt:lpstr>Model!ModelRMMABrack2</vt:lpstr>
      <vt:lpstr>Model!ModelRMMABrack3</vt:lpstr>
      <vt:lpstr>Model!ModelRMMABrack4</vt:lpstr>
      <vt:lpstr>Model!ModelRMMABrackets</vt:lpstr>
      <vt:lpstr>Model!ModelRMMACalc</vt:lpstr>
      <vt:lpstr>Model!ModelRMMATax</vt:lpstr>
      <vt:lpstr>Model!ModelRollup</vt:lpstr>
      <vt:lpstr>Model!ModelRothBalance</vt:lpstr>
      <vt:lpstr>Model!ModelRothConv</vt:lpstr>
      <vt:lpstr>Model!ModelRothConvMode</vt:lpstr>
      <vt:lpstr>Model!ModelRothConvValue</vt:lpstr>
      <vt:lpstr>Model!ModelRothDraw</vt:lpstr>
      <vt:lpstr>Model!ModelRothStart</vt:lpstr>
      <vt:lpstr>Model!ModelRothStartYear</vt:lpstr>
      <vt:lpstr>Model!ModelRothStopYear</vt:lpstr>
      <vt:lpstr>Model!ModelRothStrategy</vt:lpstr>
      <vt:lpstr>Model!ModelSavings</vt:lpstr>
      <vt:lpstr>Model!ModelSingleIncomeFraction</vt:lpstr>
      <vt:lpstr>Model!ModelSolutionControls</vt:lpstr>
      <vt:lpstr>Model!ModelSpendableIncome</vt:lpstr>
      <vt:lpstr>Model!ModelSpendingMode</vt:lpstr>
      <vt:lpstr>Model!ModelSS1</vt:lpstr>
      <vt:lpstr>Model!ModelSS2</vt:lpstr>
      <vt:lpstr>Model!ModelSSCommencements</vt:lpstr>
      <vt:lpstr>Model!ModelSSIncomes</vt:lpstr>
      <vt:lpstr>Model!ModelSSThresholds</vt:lpstr>
      <vt:lpstr>Model!ModelStandardDeduction</vt:lpstr>
      <vt:lpstr>Model!ModelState1Name</vt:lpstr>
      <vt:lpstr>Model!ModelState2Name</vt:lpstr>
      <vt:lpstr>Model!ModelStateBrackets</vt:lpstr>
      <vt:lpstr>Model!ModelStateDeduction</vt:lpstr>
      <vt:lpstr>Model!ModelStateDIIncone</vt:lpstr>
      <vt:lpstr>Model!ModelStateIncomeElements</vt:lpstr>
      <vt:lpstr>Model!ModelStateIRAIncome</vt:lpstr>
      <vt:lpstr>Model!ModelStateLTCGIncome</vt:lpstr>
      <vt:lpstr>Model!ModelStateNames</vt:lpstr>
      <vt:lpstr>Model!ModelStatePensionIncome</vt:lpstr>
      <vt:lpstr>Model!ModelStateSSIncome</vt:lpstr>
      <vt:lpstr>Model!ModelStateTax</vt:lpstr>
      <vt:lpstr>Model!ModelStateWageIncome</vt:lpstr>
      <vt:lpstr>Model!ModelSumsOverTime</vt:lpstr>
      <vt:lpstr>Model!ModelSumTotalAdjSS</vt:lpstr>
      <vt:lpstr>Model!ModelSumTotalAdjTax</vt:lpstr>
      <vt:lpstr>Model!ModelSumTotalAdjValue</vt:lpstr>
      <vt:lpstr>Model!ModelTargetSpend</vt:lpstr>
      <vt:lpstr>Model!ModelTargetSpendRequest</vt:lpstr>
      <vt:lpstr>Model!ModelTaxableSS</vt:lpstr>
      <vt:lpstr>Model!ModelTaxSheetName</vt:lpstr>
      <vt:lpstr>Model!ModelTotalAdjSS</vt:lpstr>
      <vt:lpstr>Model!ModelTotalAdjTax</vt:lpstr>
      <vt:lpstr>Model!ModelTotalAdjValue</vt:lpstr>
      <vt:lpstr>Model!ModelTotalExternal</vt:lpstr>
      <vt:lpstr>Model!ModelTotalFundedRMD</vt:lpstr>
      <vt:lpstr>Model!ModelTotalPensionIncome</vt:lpstr>
      <vt:lpstr>Model!ModelTotalQualDraw</vt:lpstr>
      <vt:lpstr>Model!ModelTotalQualIncome</vt:lpstr>
      <vt:lpstr>Model!ModelTotalRMD</vt:lpstr>
      <vt:lpstr>Model!ModelTotalRothConv</vt:lpstr>
      <vt:lpstr>Model!ModelTotalRothRollOver</vt:lpstr>
      <vt:lpstr>Model!ModelTotalSS</vt:lpstr>
      <vt:lpstr>Model!ModelTotalTax</vt:lpstr>
      <vt:lpstr>Model!ModelTotalWages</vt:lpstr>
      <vt:lpstr>Model!ModelUnQualBalance</vt:lpstr>
      <vt:lpstr>Model!ModelUnQualDraw</vt:lpstr>
      <vt:lpstr>Model!ModelUnqualGrowthRate</vt:lpstr>
      <vt:lpstr>Model!ModelUnqualifiedGrowthRateFactor</vt:lpstr>
      <vt:lpstr>Model!ModelUnQualIncome</vt:lpstr>
      <vt:lpstr>Model!ModelUnqualIncomeFactor</vt:lpstr>
      <vt:lpstr>Model!ModelUnqualStart</vt:lpstr>
      <vt:lpstr>Model!ModelUnQualUnReq</vt:lpstr>
      <vt:lpstr>Model!ModelUnqualWeightFactor</vt:lpstr>
      <vt:lpstr>Model!ModelVarParameters</vt:lpstr>
      <vt:lpstr>Model!ModelVarParametersExt</vt:lpstr>
      <vt:lpstr>Model!ModelWages</vt:lpstr>
      <vt:lpstr>Model!ModelWithdrawalRate</vt:lpstr>
      <vt:lpstr>Model!ModelWork1</vt:lpstr>
      <vt:lpstr>Model!ModelWork2</vt:lpstr>
      <vt:lpstr>Model!ModelWorking1</vt:lpstr>
      <vt:lpstr>Model!ModelYear</vt:lpstr>
      <vt:lpstr>Scenarios!ScenarioAbsoluteFundedRatio</vt:lpstr>
      <vt:lpstr>Scenarios!ScenarioAdjRealizedValue75</vt:lpstr>
      <vt:lpstr>Scenarios!ScenarioAdjRealizedValue85</vt:lpstr>
      <vt:lpstr>Scenarios!ScenarioAdjRealizedValue90</vt:lpstr>
      <vt:lpstr>Scenarios!ScenarioAdjRealizedValue95</vt:lpstr>
      <vt:lpstr>Scenarios!ScenarioAdjSS75</vt:lpstr>
      <vt:lpstr>Scenarios!ScenarioAdjSS85</vt:lpstr>
      <vt:lpstr>Scenarios!ScenarioAdjSS90</vt:lpstr>
      <vt:lpstr>Scenarios!ScenarioAdjSS95</vt:lpstr>
      <vt:lpstr>Scenarios!ScenarioAdjSSBreakEven</vt:lpstr>
      <vt:lpstr>Scenarios!ScenarioAdjSSRefColumn</vt:lpstr>
      <vt:lpstr>Scenarios!ScenarioAdjTotalAccountValues75</vt:lpstr>
      <vt:lpstr>Scenarios!ScenarioAdjTotalAccountValues85</vt:lpstr>
      <vt:lpstr>Scenarios!ScenarioAdjTotalAccountValues90</vt:lpstr>
      <vt:lpstr>Scenarios!ScenarioAdjTotalAccountValues95</vt:lpstr>
      <vt:lpstr>Scenarios!ScenarioAdjTotalTax75</vt:lpstr>
      <vt:lpstr>Scenarios!ScenarioAdjTotalTax85</vt:lpstr>
      <vt:lpstr>Scenarios!ScenarioAdjTotalTax90</vt:lpstr>
      <vt:lpstr>Scenarios!ScenarioAdjTotalTax95</vt:lpstr>
      <vt:lpstr>Scenarios!ScenarioAdjValueBreakEven</vt:lpstr>
      <vt:lpstr>Scenarios!ScenarioAdjValueRefColumn</vt:lpstr>
      <vt:lpstr>Scenarios!ScenarioFactorTableName</vt:lpstr>
      <vt:lpstr>Scenarios!ScenarioFailedReserveTotal</vt:lpstr>
      <vt:lpstr>Scenarios!ScenarioFailsReserveGoal</vt:lpstr>
      <vt:lpstr>Scenarios!ScenarioFedIndexingFactor</vt:lpstr>
      <vt:lpstr>Scenarios!ScenarioFundedRatio</vt:lpstr>
      <vt:lpstr>Scenarios!ScenarioGrowthRate</vt:lpstr>
      <vt:lpstr>Scenarios!ScenarioImprovedByRothOpt85</vt:lpstr>
      <vt:lpstr>Scenarios!ScenarioImprovedByRothOpt95</vt:lpstr>
      <vt:lpstr>Scenarios!ScenarioInflation</vt:lpstr>
      <vt:lpstr>Scenarios!ScenarioInsufficentFundsTotal</vt:lpstr>
      <vt:lpstr>Scenarios!ScenarioLastMAYear</vt:lpstr>
      <vt:lpstr>Scenarios!ScenarioMaxMarginalTaxRate95</vt:lpstr>
      <vt:lpstr>Scenarios!ScenarioMaxSpend</vt:lpstr>
      <vt:lpstr>Scenarios!ScenarioMedicareD1</vt:lpstr>
      <vt:lpstr>Scenarios!ScenarioMinTotalValue</vt:lpstr>
      <vt:lpstr>Scenarios!ScenarioMinUnqual</vt:lpstr>
      <vt:lpstr>Scenarios!ScenarioModelName</vt:lpstr>
      <vt:lpstr>Scenarios!ScenarioNominalSS75</vt:lpstr>
      <vt:lpstr>Scenarios!ScenarioNominalSS85</vt:lpstr>
      <vt:lpstr>Scenarios!ScenarioNominalSS90</vt:lpstr>
      <vt:lpstr>Scenarios!ScenarioNominalSS95</vt:lpstr>
      <vt:lpstr>Scenarios!ScenarioNominalTotalAccountValues75</vt:lpstr>
      <vt:lpstr>Scenarios!ScenarioNominalTotalAccountValues85</vt:lpstr>
      <vt:lpstr>Scenarios!ScenarioNominalTotalAccountValues90</vt:lpstr>
      <vt:lpstr>Scenarios!ScenarioNominalTotalAccountValues95</vt:lpstr>
      <vt:lpstr>Scenarios!ScenarioNominalTotalTax75</vt:lpstr>
      <vt:lpstr>Scenarios!ScenarioNominalTotalTax85</vt:lpstr>
      <vt:lpstr>Scenarios!ScenarioNominalTotalTax90</vt:lpstr>
      <vt:lpstr>Scenarios!ScenarioNominalTotalTax95</vt:lpstr>
      <vt:lpstr>Scenarios!ScenarioPercentRoth75</vt:lpstr>
      <vt:lpstr>Scenarios!ScenarioPercentRoth85</vt:lpstr>
      <vt:lpstr>Scenarios!ScenarioPercentRoth90</vt:lpstr>
      <vt:lpstr>Scenarios!ScenarioPercentRoth95</vt:lpstr>
      <vt:lpstr>Scenarios!ScenarioPercentUnrecIncome</vt:lpstr>
      <vt:lpstr>Scenarios!ScenarioPlanAge1</vt:lpstr>
      <vt:lpstr>Scenarios!ScenarioPlanAge2</vt:lpstr>
      <vt:lpstr>Scenarios!ScenarioQualFactor</vt:lpstr>
      <vt:lpstr>Scenarios!ScenarioQualWeight</vt:lpstr>
      <vt:lpstr>Scenarios!ScenarioRothAmount</vt:lpstr>
      <vt:lpstr>Scenarios!ScenarioRothConvMode</vt:lpstr>
      <vt:lpstr>Scenarios!ScenarioRothConvValue</vt:lpstr>
      <vt:lpstr>Scenarios!ScenarioRothOptRefRow</vt:lpstr>
      <vt:lpstr>Scenarios!ScenarioRothStartYear</vt:lpstr>
      <vt:lpstr>Scenarios!ScenarioRothStopYear</vt:lpstr>
      <vt:lpstr>Scenarios!ScenarioRothStrategy</vt:lpstr>
      <vt:lpstr>Scenarios!ScenarioSingleFrac</vt:lpstr>
      <vt:lpstr>Scenarios!ScenarioSpendingDefMode</vt:lpstr>
      <vt:lpstr>Scenarios!ScenarioSpendTarget</vt:lpstr>
      <vt:lpstr>Scenarios!ScenarioSSAges</vt:lpstr>
      <vt:lpstr>Scenarios!ScenarioSummaries</vt:lpstr>
      <vt:lpstr>Scenarios!ScenariosUnqualPercentTax75</vt:lpstr>
      <vt:lpstr>Scenarios!ScenariosUnqualPercentTax85</vt:lpstr>
      <vt:lpstr>Scenarios!ScenariosUnqualPercentTax90</vt:lpstr>
      <vt:lpstr>Scenarios!ScenariosUnqualPercentTax95</vt:lpstr>
      <vt:lpstr>Scenarios!ScenarioTaxScenario</vt:lpstr>
      <vt:lpstr>Scenarios!ScenarioTotalFailed</vt:lpstr>
      <vt:lpstr>Scenarios!ScenarioTotalFundedRMD</vt:lpstr>
      <vt:lpstr>Scenarios!ScenarioTotalRothRollOver</vt:lpstr>
      <vt:lpstr>Scenarios!ScenarioUnqualGrowthRateFactor</vt:lpstr>
      <vt:lpstr>Scenarios!ScenarioUnqualIncome</vt:lpstr>
      <vt:lpstr>Scenarios!ScenarioUnqualWeight</vt:lpstr>
      <vt:lpstr>Controls!SpendingCalc</vt:lpstr>
      <vt:lpstr>Model!State1Brackets</vt:lpstr>
      <vt:lpstr>Model!State1Details</vt:lpstr>
      <vt:lpstr>Model!State2Brackets</vt:lpstr>
      <vt:lpstr>Model!State2Details</vt:lpstr>
      <vt:lpstr>StateTaxInfo!StateBrackets</vt:lpstr>
      <vt:lpstr>StateTaxInfo!StateDetails</vt:lpstr>
      <vt:lpstr>StateTaxInfo!StateTaxLocalRateAdj</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Gardell</dc:creator>
  <cp:lastModifiedBy>Steven Gardell</cp:lastModifiedBy>
  <cp:lastPrinted>2023-10-24T14:10:46Z</cp:lastPrinted>
  <dcterms:created xsi:type="dcterms:W3CDTF">2023-10-23T14:17:15Z</dcterms:created>
  <dcterms:modified xsi:type="dcterms:W3CDTF">2025-04-11T15:57:15Z</dcterms:modified>
</cp:coreProperties>
</file>